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Lifetime Record" sheetId="1" r:id="rId1"/>
    <sheet name="YBY Coach Records" sheetId="2" r:id="rId2"/>
  </sheets>
  <definedNames/>
  <calcPr fullCalcOnLoad="1"/>
</workbook>
</file>

<file path=xl/sharedStrings.xml><?xml version="1.0" encoding="utf-8"?>
<sst xmlns="http://schemas.openxmlformats.org/spreadsheetml/2006/main" count="611" uniqueCount="266">
  <si>
    <t>Buffalo Bills</t>
  </si>
  <si>
    <t>Bob</t>
  </si>
  <si>
    <t>Kendall</t>
  </si>
  <si>
    <t>Nathan</t>
  </si>
  <si>
    <t>2006 2007 2008</t>
  </si>
  <si>
    <t>Team</t>
  </si>
  <si>
    <t>Yr</t>
  </si>
  <si>
    <t>Wins</t>
  </si>
  <si>
    <t>Losses</t>
  </si>
  <si>
    <t>Ties</t>
  </si>
  <si>
    <t>Win%</t>
  </si>
  <si>
    <t>Baltimore Ravens</t>
  </si>
  <si>
    <t>Detroit Lions</t>
  </si>
  <si>
    <t>San Francisco Forty Niners</t>
  </si>
  <si>
    <t>Houston Texans</t>
  </si>
  <si>
    <t>New York Giants</t>
  </si>
  <si>
    <t>Dallas Cowboys</t>
  </si>
  <si>
    <t>Minnesota Vikings</t>
  </si>
  <si>
    <t>Green Bay Packers</t>
  </si>
  <si>
    <t>New England Patriots</t>
  </si>
  <si>
    <t>Philadelphia Eagles</t>
  </si>
  <si>
    <t>Seattle Seahawks</t>
  </si>
  <si>
    <t>Oakland Raiders</t>
  </si>
  <si>
    <t>New York Jets</t>
  </si>
  <si>
    <t>Arizona Cardinals</t>
  </si>
  <si>
    <t>Tennessee Titans</t>
  </si>
  <si>
    <t>Chicago Bears</t>
  </si>
  <si>
    <t>Jacksonville Jaguars</t>
  </si>
  <si>
    <t>Coach</t>
  </si>
  <si>
    <t>Ed</t>
  </si>
  <si>
    <t>Bernie</t>
  </si>
  <si>
    <t>Paul</t>
  </si>
  <si>
    <t>JT</t>
  </si>
  <si>
    <t>Brad</t>
  </si>
  <si>
    <t>Ron</t>
  </si>
  <si>
    <t>John</t>
  </si>
  <si>
    <t>Playoffs</t>
  </si>
  <si>
    <t>Regular Season + mini-playoff</t>
  </si>
  <si>
    <t>Dennis</t>
  </si>
  <si>
    <t>Neil</t>
  </si>
  <si>
    <t>Years</t>
  </si>
  <si>
    <t>Champ</t>
  </si>
  <si>
    <t>Joe P.</t>
  </si>
  <si>
    <t>Nelson</t>
  </si>
  <si>
    <t>Mike K.</t>
  </si>
  <si>
    <t>Tim F.</t>
  </si>
  <si>
    <t>Mike P.</t>
  </si>
  <si>
    <t>Scott</t>
  </si>
  <si>
    <t>Jay</t>
  </si>
  <si>
    <t>Lawrence</t>
  </si>
  <si>
    <t>Jeff B.</t>
  </si>
  <si>
    <t>Tony</t>
  </si>
  <si>
    <t>Denver Broncos</t>
  </si>
  <si>
    <t>Nick</t>
  </si>
  <si>
    <t>David</t>
  </si>
  <si>
    <t>Tim W.</t>
  </si>
  <si>
    <t>Indianapolis Colts</t>
  </si>
  <si>
    <t>Curt</t>
  </si>
  <si>
    <t>Carlos</t>
  </si>
  <si>
    <t>Miami Dolphins</t>
  </si>
  <si>
    <t>Gary</t>
  </si>
  <si>
    <t>Cincinnati Bengals</t>
  </si>
  <si>
    <t>Roger</t>
  </si>
  <si>
    <t>Cleveland Browns</t>
  </si>
  <si>
    <t>Topher</t>
  </si>
  <si>
    <t>SSFA LIFETIME RECORDS</t>
  </si>
  <si>
    <t>George</t>
  </si>
  <si>
    <t>Dave H.</t>
  </si>
  <si>
    <t>Kenny</t>
  </si>
  <si>
    <t>Aaron</t>
  </si>
  <si>
    <t>Don</t>
  </si>
  <si>
    <t>2006 2007</t>
  </si>
  <si>
    <t>Dan S.</t>
  </si>
  <si>
    <t>Denver / Arizona Cardinals</t>
  </si>
  <si>
    <t>Carolina Panthers</t>
  </si>
  <si>
    <t>Randy</t>
  </si>
  <si>
    <t>2007 2008</t>
  </si>
  <si>
    <t>Ben</t>
  </si>
  <si>
    <t>Fred</t>
  </si>
  <si>
    <t>Rene</t>
  </si>
  <si>
    <t>Pittsburgh Steelers / BAL</t>
  </si>
  <si>
    <t>Chris L.</t>
  </si>
  <si>
    <t>New Orleans Saints</t>
  </si>
  <si>
    <t>2006 2007 2008 2009 2010</t>
  </si>
  <si>
    <t>2006 2010</t>
  </si>
  <si>
    <t>Pittsburgh / Baltimore Ravens</t>
  </si>
  <si>
    <t>2006 2007 2008 2009 2010 2011</t>
  </si>
  <si>
    <t>2006 2007 2008 2009 2010 2011 2012</t>
  </si>
  <si>
    <t>Dan M.</t>
  </si>
  <si>
    <t>Kansas City Chiefs</t>
  </si>
  <si>
    <t>2008 2009 2010 2011 2012</t>
  </si>
  <si>
    <t>Buffalo / Dallas Cowboys</t>
  </si>
  <si>
    <t>Stanley</t>
  </si>
  <si>
    <t>Butch</t>
  </si>
  <si>
    <t>Cincinnati / Detroit Lions</t>
  </si>
  <si>
    <t>Mick</t>
  </si>
  <si>
    <t>Keith</t>
  </si>
  <si>
    <t>Washington Redskins</t>
  </si>
  <si>
    <t>2006 2007 2008 2009 2010 2011 2012 2013</t>
  </si>
  <si>
    <t>Joe</t>
  </si>
  <si>
    <t>Michael</t>
  </si>
  <si>
    <t>2006 2007 2008 2009 2010 2011 2012 2013 2014</t>
  </si>
  <si>
    <t>2010 2011 2012 2013 2014</t>
  </si>
  <si>
    <t>COACH</t>
  </si>
  <si>
    <t>TEAM</t>
  </si>
  <si>
    <t>2014</t>
  </si>
  <si>
    <t>BOB</t>
  </si>
  <si>
    <t>ARIZONA</t>
  </si>
  <si>
    <t>3-13</t>
  </si>
  <si>
    <t>6-10</t>
  </si>
  <si>
    <t>NATHAN</t>
  </si>
  <si>
    <t>5-11</t>
  </si>
  <si>
    <t>SCOTT</t>
  </si>
  <si>
    <t>BUFFALO</t>
  </si>
  <si>
    <t>BRAD</t>
  </si>
  <si>
    <t>CHICAGO</t>
  </si>
  <si>
    <t>7-9</t>
  </si>
  <si>
    <t>8-8</t>
  </si>
  <si>
    <t>JAY</t>
  </si>
  <si>
    <t>CINCINNATI</t>
  </si>
  <si>
    <t>DETROIT</t>
  </si>
  <si>
    <t>RON DICKINSON</t>
  </si>
  <si>
    <t>GREEN BAY</t>
  </si>
  <si>
    <t>PAUL</t>
  </si>
  <si>
    <t>HOUSTON</t>
  </si>
  <si>
    <t>LAWRENCE</t>
  </si>
  <si>
    <t>KANSAS CITY</t>
  </si>
  <si>
    <t>MINNESOTA</t>
  </si>
  <si>
    <t>NEW YORK GIANTS</t>
  </si>
  <si>
    <t>TOM</t>
  </si>
  <si>
    <t>NEW YORK JETS</t>
  </si>
  <si>
    <t>OAKLAND</t>
  </si>
  <si>
    <t>PITTSBURGH</t>
  </si>
  <si>
    <t>9-7</t>
  </si>
  <si>
    <t>ED</t>
  </si>
  <si>
    <t>SAN FRANCISCO</t>
  </si>
  <si>
    <t>DENNIS</t>
  </si>
  <si>
    <t xml:space="preserve">SEATTLE </t>
  </si>
  <si>
    <t>JACKSONVILLE</t>
  </si>
  <si>
    <t>LA/ST. LOUIS</t>
  </si>
  <si>
    <t>MIAMI</t>
  </si>
  <si>
    <t>NEW ORLEANS</t>
  </si>
  <si>
    <t>WASHINGTON</t>
  </si>
  <si>
    <t>JASON</t>
  </si>
  <si>
    <t>BUTCH</t>
  </si>
  <si>
    <t>MICHAEL REEVES</t>
  </si>
  <si>
    <t>CURT</t>
  </si>
  <si>
    <t>MICK</t>
  </si>
  <si>
    <t>JEFF</t>
  </si>
  <si>
    <t>DON</t>
  </si>
  <si>
    <t>RANDY</t>
  </si>
  <si>
    <t>DAN MORIN</t>
  </si>
  <si>
    <t>TONY P</t>
  </si>
  <si>
    <t>JOE GOLDEN</t>
  </si>
  <si>
    <t>DAN T.</t>
  </si>
  <si>
    <t>KEITH</t>
  </si>
  <si>
    <t>0-16</t>
  </si>
  <si>
    <t>CLEVELAND/BUFFALO</t>
  </si>
  <si>
    <t>2015</t>
  </si>
  <si>
    <t>RENE</t>
  </si>
  <si>
    <t>DENVER</t>
  </si>
  <si>
    <t>x</t>
  </si>
  <si>
    <t>NELSON</t>
  </si>
  <si>
    <t>INDIANAPOLIS</t>
  </si>
  <si>
    <t>4-12</t>
  </si>
  <si>
    <t>KENDALL</t>
  </si>
  <si>
    <t>JOHN MADDEN</t>
  </si>
  <si>
    <t>TENNESSEE</t>
  </si>
  <si>
    <t>2-14</t>
  </si>
  <si>
    <t>DAN SUHR</t>
  </si>
  <si>
    <t>CLEVELAND</t>
  </si>
  <si>
    <t>MIKE KUDUK</t>
  </si>
  <si>
    <t>2016</t>
  </si>
  <si>
    <t>DAVE GABBARD</t>
  </si>
  <si>
    <t>int</t>
  </si>
  <si>
    <t>2017</t>
  </si>
  <si>
    <t>7-8-1</t>
  </si>
  <si>
    <t>6-9-1</t>
  </si>
  <si>
    <t>CINCINNATI/DETROIT</t>
  </si>
  <si>
    <t>1-15</t>
  </si>
  <si>
    <t>10-6* (1-1)</t>
  </si>
  <si>
    <t>9-7* (0-1)</t>
  </si>
  <si>
    <t>9-7* (1-1)</t>
  </si>
  <si>
    <t>14-2* (1-1)</t>
  </si>
  <si>
    <t>10-6* (3-0) WON SUPER BOWL, 24-20 over SF</t>
  </si>
  <si>
    <t>12-4* (0-1)</t>
  </si>
  <si>
    <t>11-5* (0-1)</t>
  </si>
  <si>
    <t>9-7* (2-1)</t>
  </si>
  <si>
    <t>13-3* (3-0) WON SUPER BOWL, 31-13 over SD</t>
  </si>
  <si>
    <t>11-4-1* (2-1), lost Super Bowl, 31-13 to AZ</t>
  </si>
  <si>
    <t>14-2* (3-0) WON SUPER BOWL, 24-20 over Buff</t>
  </si>
  <si>
    <t>15-1* (1-1)</t>
  </si>
  <si>
    <t>9-6-1* (0-1)</t>
  </si>
  <si>
    <t>12-4* (1-1)</t>
  </si>
  <si>
    <t>13-3* (3-0) Won Super Bowl, 27-21 over NYG</t>
  </si>
  <si>
    <t>10-6* (0-1)</t>
  </si>
  <si>
    <t>11-5* (1-1)</t>
  </si>
  <si>
    <t>13-3* (0-1)</t>
  </si>
  <si>
    <t>15-1* (2-1), lost Super Bowl, 27-21 to Seattle</t>
  </si>
  <si>
    <t>12-4* (2-1), lost Super Bowl, 30-28 to NYJ</t>
  </si>
  <si>
    <t>11-4-1* (3-0), WON SUPER BOWL, 30-28 over STL</t>
  </si>
  <si>
    <t>10-6* (2-1)</t>
  </si>
  <si>
    <t>12-3-1* (0-1)</t>
  </si>
  <si>
    <t>13-3* (1-1)</t>
  </si>
  <si>
    <t>12-4* (2-1), lost Super Bowl, 20-19, to Tennessee</t>
  </si>
  <si>
    <t>9-7 (1-1)</t>
  </si>
  <si>
    <t>13-3* (3-0), WON SUPER BOWL, 20-19, over Tennessee</t>
  </si>
  <si>
    <t>15-1* (0-1)</t>
  </si>
  <si>
    <t>14-2* (0-1)</t>
  </si>
  <si>
    <t>10-6* (2-1), lost Super Bowl to Houston, 31-17</t>
  </si>
  <si>
    <t>10-6* (4-0), WON SUPER BOWL, 19-16 over NYJ</t>
  </si>
  <si>
    <t>12-4* (3-0), WON SUPER BOWL 31-17 over Detroit</t>
  </si>
  <si>
    <t>13-3* (3-0), WON SUPER BOWL, 38-24 over SEA</t>
  </si>
  <si>
    <t>13-3* (2-1), lost SUPER BOWL, 38-24 to Jax</t>
  </si>
  <si>
    <t>11-5* (2-1), lost Super Bowl, 19-16 to Jax</t>
  </si>
  <si>
    <t>13-3* (2-1) lost Super Bowl, 24-20 to Jax</t>
  </si>
  <si>
    <t>11-4-1* (0-1)</t>
  </si>
  <si>
    <t>10-5-1* (3-0), WON SUPER BOWL, 27-21 over SEA</t>
  </si>
  <si>
    <t>10-6* (3-1), lost Super Bowl, 27-21 to SF</t>
  </si>
  <si>
    <t>12-4*  (0-1)</t>
  </si>
  <si>
    <t>11-5* (3-0), WON SUPER BOWL, 20-17 (2 OT), over Seattle</t>
  </si>
  <si>
    <t>10-6* (3-1), lost Super Bowl, 20-17 (2 OT) to Minnesota</t>
  </si>
  <si>
    <t>TAMPA BAY</t>
  </si>
  <si>
    <t>DALE R.</t>
  </si>
  <si>
    <t>BALTIMORE/PITT</t>
  </si>
  <si>
    <t>DETROIT/ATL</t>
  </si>
  <si>
    <t>16-0* (0-1)</t>
  </si>
  <si>
    <t>LA/SD CHARGERS</t>
  </si>
  <si>
    <t>2018</t>
  </si>
  <si>
    <t>10-6* (3-0), WON SUPER BOWL, 27-20, over Seattle</t>
  </si>
  <si>
    <t>9-7* (3-1), lost Super Bowl, 27-20 to Minnesota</t>
  </si>
  <si>
    <t>through the 2017 season</t>
  </si>
  <si>
    <t>updated 7/9/2019</t>
  </si>
  <si>
    <t>2006 2007 2008 2009 2010 2011 2012 2013 2014 2015 2016 2017</t>
  </si>
  <si>
    <t>2-1</t>
  </si>
  <si>
    <t>1-4</t>
  </si>
  <si>
    <t>2009 2011 2012 2017</t>
  </si>
  <si>
    <t>1-0</t>
  </si>
  <si>
    <t>Tom C.</t>
  </si>
  <si>
    <t>1-1</t>
  </si>
  <si>
    <t>Atlanta / Detroit Lions</t>
  </si>
  <si>
    <t>2013 2014 2015 2016 2017</t>
  </si>
  <si>
    <t>3-0</t>
  </si>
  <si>
    <t>2012 2013 2014 2015 2016 2017</t>
  </si>
  <si>
    <t>San Diego / Los Angeles Chargers</t>
  </si>
  <si>
    <t>0-1</t>
  </si>
  <si>
    <t>Dale</t>
  </si>
  <si>
    <t>Tampa Bay Buccaneers</t>
  </si>
  <si>
    <t>St. Louis / Los Angeles Rams</t>
  </si>
  <si>
    <t>2007 2008 2009 2010 2011 2012 2013 2014 2015 2016 2017</t>
  </si>
  <si>
    <t>2009 2010 2011 2012 2013 2014 2015 2016 2017</t>
  </si>
  <si>
    <t>2010 2011 2012 2013 2014 2015 2016 2017</t>
  </si>
  <si>
    <t>2-0</t>
  </si>
  <si>
    <t>Buffalo / Cleveland Browns</t>
  </si>
  <si>
    <t>2014 2015 2016 2017</t>
  </si>
  <si>
    <t>2008 2009 2010 2011 2012 2013 2014 2015 2016 2017</t>
  </si>
  <si>
    <t>Dave S.</t>
  </si>
  <si>
    <t>2016 2017</t>
  </si>
  <si>
    <t>Tom V.</t>
  </si>
  <si>
    <t>Dan T.</t>
  </si>
  <si>
    <t>Pittsburgh Steelers</t>
  </si>
  <si>
    <t>2015 2016 2017</t>
  </si>
  <si>
    <t>2006 2007 2008 2009 2010 2011 2012 2013 2014 2015 2016</t>
  </si>
  <si>
    <t>2007 2008 2009 2010 2011 2012 2013 2014 2015 2016</t>
  </si>
  <si>
    <t>Jason</t>
  </si>
  <si>
    <t>2015 2016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</si>
</sst>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49" fontId="46" fillId="0" borderId="0" xfId="0" applyNumberFormat="1" applyFont="1" applyAlignment="1">
      <alignment horizontal="left" vertical="top" wrapText="1"/>
    </xf>
    <xf numFmtId="49" fontId="6" fillId="33" borderId="0" xfId="0" applyNumberFormat="1" applyFont="1" applyFill="1" applyAlignment="1">
      <alignment horizontal="left" vertical="top" wrapText="1"/>
    </xf>
    <xf numFmtId="49" fontId="6" fillId="33" borderId="0" xfId="0" applyNumberFormat="1" applyFont="1" applyFill="1" applyAlignment="1">
      <alignment horizontal="center" vertical="top" wrapText="1"/>
    </xf>
    <xf numFmtId="49" fontId="46" fillId="33" borderId="0" xfId="0" applyNumberFormat="1" applyFont="1" applyFill="1" applyAlignment="1">
      <alignment horizontal="center" vertical="top" wrapText="1"/>
    </xf>
    <xf numFmtId="49" fontId="46" fillId="34" borderId="0" xfId="0" applyNumberFormat="1" applyFont="1" applyFill="1" applyAlignment="1">
      <alignment horizontal="left" vertical="top" wrapText="1"/>
    </xf>
    <xf numFmtId="49" fontId="6" fillId="34" borderId="0" xfId="0" applyNumberFormat="1" applyFont="1" applyFill="1" applyAlignment="1">
      <alignment horizontal="center" vertical="top" wrapText="1"/>
    </xf>
    <xf numFmtId="49" fontId="6" fillId="34" borderId="0" xfId="0" applyNumberFormat="1" applyFont="1" applyFill="1" applyAlignment="1">
      <alignment horizontal="left" vertical="top" wrapText="1"/>
    </xf>
    <xf numFmtId="49" fontId="46" fillId="34" borderId="0" xfId="0" applyNumberFormat="1" applyFont="1" applyFill="1" applyAlignment="1">
      <alignment horizontal="center" vertical="top" wrapText="1"/>
    </xf>
    <xf numFmtId="49" fontId="46" fillId="35" borderId="0" xfId="0" applyNumberFormat="1" applyFont="1" applyFill="1" applyAlignment="1">
      <alignment horizontal="left" vertical="top" wrapText="1"/>
    </xf>
    <xf numFmtId="49" fontId="6" fillId="35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49" fontId="47" fillId="0" borderId="0" xfId="0" applyNumberFormat="1" applyFont="1" applyFill="1" applyAlignment="1">
      <alignment horizontal="center" vertical="top" wrapText="1"/>
    </xf>
    <xf numFmtId="49" fontId="4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7" fillId="36" borderId="0" xfId="0" applyNumberFormat="1" applyFont="1" applyFill="1" applyAlignment="1">
      <alignment horizontal="center" vertical="top" wrapText="1"/>
    </xf>
    <xf numFmtId="49" fontId="7" fillId="7" borderId="0" xfId="0" applyNumberFormat="1" applyFont="1" applyFill="1" applyAlignment="1">
      <alignment horizontal="center" vertical="top" wrapText="1"/>
    </xf>
    <xf numFmtId="49" fontId="47" fillId="7" borderId="0" xfId="0" applyNumberFormat="1" applyFont="1" applyFill="1" applyAlignment="1">
      <alignment horizontal="center" vertical="top" wrapText="1"/>
    </xf>
    <xf numFmtId="49" fontId="47" fillId="36" borderId="0" xfId="0" applyNumberFormat="1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46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8515625" style="0" customWidth="1"/>
    <col min="2" max="2" width="26.421875" style="0" bestFit="1" customWidth="1"/>
    <col min="3" max="3" width="3.28125" style="4" customWidth="1"/>
    <col min="4" max="4" width="61.57421875" style="4" bestFit="1" customWidth="1"/>
    <col min="5" max="6" width="6.8515625" style="0" customWidth="1"/>
    <col min="7" max="7" width="5.00390625" style="0" customWidth="1"/>
    <col min="8" max="8" width="6.00390625" style="0" bestFit="1" customWidth="1"/>
    <col min="9" max="9" width="3.7109375" style="0" customWidth="1"/>
    <col min="10" max="10" width="7.421875" style="12" bestFit="1" customWidth="1"/>
    <col min="11" max="11" width="3.28125" style="4" customWidth="1"/>
    <col min="12" max="13" width="6.8515625" style="0" customWidth="1"/>
    <col min="14" max="14" width="5.00390625" style="0" customWidth="1"/>
    <col min="15" max="15" width="6.00390625" style="0" bestFit="1" customWidth="1"/>
    <col min="16" max="16" width="4.8515625" style="0" customWidth="1"/>
    <col min="17" max="17" width="6.00390625" style="0" bestFit="1" customWidth="1"/>
  </cols>
  <sheetData>
    <row r="2" spans="5:11" ht="20.25">
      <c r="E2" s="11" t="s">
        <v>65</v>
      </c>
      <c r="K2" s="11"/>
    </row>
    <row r="3" spans="1:16" ht="12.75">
      <c r="A3" s="1"/>
      <c r="C3" s="2"/>
      <c r="D3" s="3"/>
      <c r="E3" s="14" t="s">
        <v>231</v>
      </c>
      <c r="H3" s="4"/>
      <c r="I3" s="4"/>
      <c r="J3" s="4"/>
      <c r="L3" s="4"/>
      <c r="M3" s="4"/>
      <c r="N3" s="4"/>
      <c r="O3" s="4"/>
      <c r="P3" s="4"/>
    </row>
    <row r="4" spans="3:11" s="15" customFormat="1" ht="12.75" customHeight="1">
      <c r="C4" s="16"/>
      <c r="D4" s="16"/>
      <c r="E4" s="17" t="s">
        <v>232</v>
      </c>
      <c r="G4" s="18"/>
      <c r="J4" s="19"/>
      <c r="K4" s="18"/>
    </row>
    <row r="5" spans="5:12" ht="12.75">
      <c r="E5" s="4"/>
      <c r="L5" s="4"/>
    </row>
    <row r="6" spans="4:12" ht="12.75">
      <c r="D6" s="7"/>
      <c r="E6" s="8" t="s">
        <v>37</v>
      </c>
      <c r="L6" s="8" t="s">
        <v>36</v>
      </c>
    </row>
    <row r="7" spans="3:12" ht="12.75">
      <c r="C7" s="7"/>
      <c r="D7" s="7"/>
      <c r="L7" s="7"/>
    </row>
    <row r="8" spans="1:15" ht="12.75">
      <c r="A8" s="9" t="s">
        <v>28</v>
      </c>
      <c r="B8" s="9" t="s">
        <v>5</v>
      </c>
      <c r="C8" s="10" t="s">
        <v>6</v>
      </c>
      <c r="D8" s="10" t="s">
        <v>40</v>
      </c>
      <c r="E8" s="10" t="s">
        <v>7</v>
      </c>
      <c r="F8" s="10" t="s">
        <v>8</v>
      </c>
      <c r="G8" s="10" t="s">
        <v>9</v>
      </c>
      <c r="H8" s="10" t="s">
        <v>10</v>
      </c>
      <c r="I8" s="10"/>
      <c r="J8" s="13" t="s">
        <v>41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</row>
    <row r="10" spans="1:15" ht="12.75">
      <c r="A10" t="s">
        <v>29</v>
      </c>
      <c r="B10" t="s">
        <v>13</v>
      </c>
      <c r="C10" s="4">
        <v>12</v>
      </c>
      <c r="D10" s="20" t="s">
        <v>233</v>
      </c>
      <c r="E10" s="4">
        <f>14+13+15+11+9+10+13+8+9+10+13+13</f>
        <v>138</v>
      </c>
      <c r="F10" s="4">
        <f>2+3+1+5+7+6+3+8+7+5+3+3</f>
        <v>53</v>
      </c>
      <c r="G10" s="4">
        <f>1</f>
        <v>1</v>
      </c>
      <c r="H10" s="6">
        <f aca="true" t="shared" si="0" ref="H10:H33">IF(E10+F10=0,"",E10/(F10+E10)*100)</f>
        <v>72.25130890052355</v>
      </c>
      <c r="I10" s="6"/>
      <c r="J10" s="50" t="s">
        <v>234</v>
      </c>
      <c r="K10" s="4">
        <v>11</v>
      </c>
      <c r="L10" s="22">
        <f>3+2+1+1+2+1+0+0+3+1+1</f>
        <v>15</v>
      </c>
      <c r="M10" s="4">
        <f>0+1+1+1+1+1+1+1+0+1+1</f>
        <v>9</v>
      </c>
      <c r="N10" s="4"/>
      <c r="O10" s="6">
        <f aca="true" t="shared" si="1" ref="O10:O33">IF(L10+M10=0,"",L10/(M10+L10)*100)</f>
        <v>62.5</v>
      </c>
    </row>
    <row r="11" spans="1:15" ht="12.75">
      <c r="A11" t="s">
        <v>38</v>
      </c>
      <c r="B11" t="s">
        <v>21</v>
      </c>
      <c r="C11" s="4">
        <v>12</v>
      </c>
      <c r="D11" s="20" t="s">
        <v>233</v>
      </c>
      <c r="E11" s="4">
        <f>14+11+9+13+10+6+10+11+13+10+10+9</f>
        <v>126</v>
      </c>
      <c r="F11" s="4">
        <f>2+5+6+3+6+10+6+5+3+6+6+7</f>
        <v>65</v>
      </c>
      <c r="G11" s="4">
        <f>1</f>
        <v>1</v>
      </c>
      <c r="H11" s="6">
        <f t="shared" si="0"/>
        <v>65.96858638743456</v>
      </c>
      <c r="I11" s="6"/>
      <c r="J11" s="50" t="s">
        <v>235</v>
      </c>
      <c r="K11" s="4">
        <v>11</v>
      </c>
      <c r="L11" s="4">
        <f>1+0+0+3+0+1+0+2+3+3+3</f>
        <v>16</v>
      </c>
      <c r="M11" s="14">
        <f>1+1+1+0+1+1+1+1+1+1+1</f>
        <v>10</v>
      </c>
      <c r="N11" s="4"/>
      <c r="O11" s="6">
        <f t="shared" si="1"/>
        <v>61.53846153846154</v>
      </c>
    </row>
    <row r="12" spans="1:15" ht="12.75">
      <c r="A12" t="s">
        <v>35</v>
      </c>
      <c r="B12" t="s">
        <v>25</v>
      </c>
      <c r="C12" s="4">
        <v>4</v>
      </c>
      <c r="D12" s="5" t="s">
        <v>236</v>
      </c>
      <c r="E12" s="4">
        <f>10+13+13+6</f>
        <v>42</v>
      </c>
      <c r="F12" s="4">
        <f>7+3+3+10</f>
        <v>23</v>
      </c>
      <c r="G12" s="4"/>
      <c r="H12" s="6">
        <f t="shared" si="0"/>
        <v>64.61538461538461</v>
      </c>
      <c r="I12" s="6"/>
      <c r="J12" s="50" t="s">
        <v>237</v>
      </c>
      <c r="K12" s="4">
        <v>3</v>
      </c>
      <c r="L12" s="4">
        <f>2+3+1</f>
        <v>6</v>
      </c>
      <c r="M12" s="4">
        <f>1+0+1</f>
        <v>2</v>
      </c>
      <c r="N12" s="4"/>
      <c r="O12" s="6">
        <f t="shared" si="1"/>
        <v>75</v>
      </c>
    </row>
    <row r="13" spans="1:15" ht="12.75">
      <c r="A13" t="s">
        <v>238</v>
      </c>
      <c r="B13" t="s">
        <v>23</v>
      </c>
      <c r="C13" s="4">
        <v>12</v>
      </c>
      <c r="D13" s="20" t="s">
        <v>233</v>
      </c>
      <c r="E13" s="4">
        <f>10+12+8+10+11+11+13+11+0+4+10+16</f>
        <v>116</v>
      </c>
      <c r="F13" s="4">
        <f>8+4+8+7+4+5+3+5+16+12+6+0</f>
        <v>78</v>
      </c>
      <c r="G13" s="4">
        <f>1</f>
        <v>1</v>
      </c>
      <c r="H13" s="6">
        <f t="shared" si="0"/>
        <v>59.79381443298969</v>
      </c>
      <c r="I13" s="6"/>
      <c r="J13" s="50" t="s">
        <v>239</v>
      </c>
      <c r="K13" s="4">
        <v>9</v>
      </c>
      <c r="L13" s="4">
        <f>0+0+1+3+1+0+2+0+0</f>
        <v>7</v>
      </c>
      <c r="M13" s="4">
        <f>1+1+1+0+1+1+1+1+1</f>
        <v>8</v>
      </c>
      <c r="N13" s="4"/>
      <c r="O13" s="6">
        <f t="shared" si="1"/>
        <v>46.666666666666664</v>
      </c>
    </row>
    <row r="14" spans="1:15" ht="12.75">
      <c r="A14" t="s">
        <v>95</v>
      </c>
      <c r="B14" t="s">
        <v>240</v>
      </c>
      <c r="C14" s="4">
        <v>5</v>
      </c>
      <c r="D14" s="24" t="s">
        <v>241</v>
      </c>
      <c r="E14" s="4">
        <f>11+13+9+7+9</f>
        <v>49</v>
      </c>
      <c r="F14" s="4">
        <f>7+3+7+9+7</f>
        <v>33</v>
      </c>
      <c r="G14" s="4"/>
      <c r="H14" s="6">
        <f t="shared" si="0"/>
        <v>59.756097560975604</v>
      </c>
      <c r="I14" s="6"/>
      <c r="J14" s="51"/>
      <c r="K14" s="4">
        <v>4</v>
      </c>
      <c r="L14" s="4">
        <f>0+1+0+0</f>
        <v>1</v>
      </c>
      <c r="M14" s="4">
        <f>1+1+1+1</f>
        <v>4</v>
      </c>
      <c r="N14" s="4"/>
      <c r="O14" s="6">
        <f t="shared" si="1"/>
        <v>20</v>
      </c>
    </row>
    <row r="15" spans="1:15" ht="12.75">
      <c r="A15" t="s">
        <v>48</v>
      </c>
      <c r="B15" t="s">
        <v>27</v>
      </c>
      <c r="C15" s="4">
        <v>12</v>
      </c>
      <c r="D15" s="20" t="s">
        <v>233</v>
      </c>
      <c r="E15" s="4">
        <f>2+10+5+12+12+6+15+10+13+14+10+2</f>
        <v>111</v>
      </c>
      <c r="F15" s="4">
        <f>14+6+11+4+4+10+1+6+3+2+6+14</f>
        <v>81</v>
      </c>
      <c r="G15" s="4"/>
      <c r="H15" s="6">
        <f t="shared" si="0"/>
        <v>57.8125</v>
      </c>
      <c r="I15" s="6"/>
      <c r="J15" s="50" t="s">
        <v>242</v>
      </c>
      <c r="K15" s="4">
        <v>8</v>
      </c>
      <c r="L15" s="4">
        <f>3+0+0+0+4+3+1+2</f>
        <v>13</v>
      </c>
      <c r="M15" s="4">
        <f>0+1+1+1+0+0+1+1</f>
        <v>5</v>
      </c>
      <c r="N15" s="4"/>
      <c r="O15" s="6">
        <f t="shared" si="1"/>
        <v>72.22222222222221</v>
      </c>
    </row>
    <row r="16" spans="1:15" ht="12.75">
      <c r="A16" t="s">
        <v>88</v>
      </c>
      <c r="B16" t="s">
        <v>89</v>
      </c>
      <c r="C16" s="4">
        <v>6</v>
      </c>
      <c r="D16" s="20" t="s">
        <v>243</v>
      </c>
      <c r="E16" s="4">
        <f>8+10+7+11+6+11</f>
        <v>53</v>
      </c>
      <c r="F16" s="4">
        <f>8+6+9+4+10+5</f>
        <v>42</v>
      </c>
      <c r="G16" s="4">
        <v>1</v>
      </c>
      <c r="H16" s="6">
        <f t="shared" si="0"/>
        <v>55.78947368421052</v>
      </c>
      <c r="I16" s="6"/>
      <c r="J16" s="51"/>
      <c r="K16" s="4">
        <v>3</v>
      </c>
      <c r="L16" s="4">
        <f>1+0+1</f>
        <v>2</v>
      </c>
      <c r="M16" s="4">
        <f>1+1+1</f>
        <v>3</v>
      </c>
      <c r="N16" s="4"/>
      <c r="O16" s="6">
        <f t="shared" si="1"/>
        <v>40</v>
      </c>
    </row>
    <row r="17" spans="1:15" ht="12.75">
      <c r="A17" t="s">
        <v>31</v>
      </c>
      <c r="B17" t="s">
        <v>244</v>
      </c>
      <c r="C17" s="4">
        <v>12</v>
      </c>
      <c r="D17" s="20" t="s">
        <v>233</v>
      </c>
      <c r="E17" s="4">
        <f>10+4+11+7+7+4+14+6+5+9+9+11</f>
        <v>97</v>
      </c>
      <c r="F17" s="4">
        <f>7+12+4+9+8+12+2+10+11+7+7+5</f>
        <v>94</v>
      </c>
      <c r="G17" s="4">
        <f>1+1</f>
        <v>2</v>
      </c>
      <c r="H17" s="6">
        <f t="shared" si="0"/>
        <v>50.78534031413613</v>
      </c>
      <c r="I17" s="6"/>
      <c r="J17" s="50" t="s">
        <v>245</v>
      </c>
      <c r="K17" s="4">
        <v>6</v>
      </c>
      <c r="L17" s="4">
        <f>1+2+0+0+1+0</f>
        <v>4</v>
      </c>
      <c r="M17" s="4">
        <f>1+1+1+1+1+1</f>
        <v>6</v>
      </c>
      <c r="N17" s="4"/>
      <c r="O17" s="6">
        <f t="shared" si="1"/>
        <v>40</v>
      </c>
    </row>
    <row r="18" spans="1:15" ht="12.75">
      <c r="A18" t="s">
        <v>57</v>
      </c>
      <c r="B18" t="s">
        <v>73</v>
      </c>
      <c r="C18" s="4">
        <v>12</v>
      </c>
      <c r="D18" s="20" t="s">
        <v>233</v>
      </c>
      <c r="E18" s="4">
        <f>5+7+13+10+6+4+8+9+11+4+8+7</f>
        <v>92</v>
      </c>
      <c r="F18" s="4">
        <f>1+9+3+7+10+12+8+8+5+12+8+9</f>
        <v>92</v>
      </c>
      <c r="G18" s="4"/>
      <c r="H18" s="6">
        <f t="shared" si="0"/>
        <v>50</v>
      </c>
      <c r="I18" s="6"/>
      <c r="J18" s="50" t="s">
        <v>237</v>
      </c>
      <c r="K18" s="4">
        <v>3</v>
      </c>
      <c r="L18" s="4">
        <f>3+0+0</f>
        <v>3</v>
      </c>
      <c r="M18" s="4">
        <f>0+1+1</f>
        <v>2</v>
      </c>
      <c r="N18" s="4"/>
      <c r="O18" s="6">
        <f t="shared" si="1"/>
        <v>60</v>
      </c>
    </row>
    <row r="19" spans="1:15" ht="12.75">
      <c r="A19" s="23" t="s">
        <v>246</v>
      </c>
      <c r="B19" s="23" t="s">
        <v>247</v>
      </c>
      <c r="C19" s="4">
        <v>1</v>
      </c>
      <c r="D19" s="20">
        <v>2017</v>
      </c>
      <c r="E19" s="4">
        <f>8</f>
        <v>8</v>
      </c>
      <c r="F19" s="4">
        <f>8</f>
        <v>8</v>
      </c>
      <c r="G19" s="4"/>
      <c r="H19" s="6">
        <f t="shared" si="0"/>
        <v>50</v>
      </c>
      <c r="I19" s="6"/>
      <c r="J19" s="51"/>
      <c r="L19" s="4"/>
      <c r="M19" s="4"/>
      <c r="N19" s="4"/>
      <c r="O19" s="6">
        <f t="shared" si="1"/>
      </c>
    </row>
    <row r="20" spans="1:15" ht="12.75">
      <c r="A20" t="s">
        <v>33</v>
      </c>
      <c r="B20" t="s">
        <v>14</v>
      </c>
      <c r="C20" s="4">
        <v>12</v>
      </c>
      <c r="D20" s="20" t="s">
        <v>233</v>
      </c>
      <c r="E20" s="4">
        <f>10+6+3+5+7+5+12+10+10+8+11+8</f>
        <v>95</v>
      </c>
      <c r="F20" s="4">
        <f>6+10+13+11+9+11+4+6+6+8+5+8</f>
        <v>97</v>
      </c>
      <c r="G20" s="4"/>
      <c r="H20" s="6">
        <f t="shared" si="0"/>
        <v>49.47916666666667</v>
      </c>
      <c r="I20" s="6"/>
      <c r="J20" s="50" t="s">
        <v>237</v>
      </c>
      <c r="K20" s="4">
        <v>5</v>
      </c>
      <c r="L20" s="4">
        <f>1+3+0+0+0</f>
        <v>4</v>
      </c>
      <c r="M20" s="4">
        <f>1+0+1+1+1</f>
        <v>4</v>
      </c>
      <c r="N20" s="4"/>
      <c r="O20" s="6">
        <f t="shared" si="1"/>
        <v>50</v>
      </c>
    </row>
    <row r="21" spans="1:15" ht="12.75">
      <c r="A21" t="s">
        <v>96</v>
      </c>
      <c r="B21" t="s">
        <v>97</v>
      </c>
      <c r="C21" s="4">
        <v>5</v>
      </c>
      <c r="D21" s="20" t="s">
        <v>241</v>
      </c>
      <c r="E21" s="4">
        <f>9+6+10+6+9</f>
        <v>40</v>
      </c>
      <c r="F21" s="4">
        <f>8+10+6+10+7</f>
        <v>41</v>
      </c>
      <c r="G21" s="4"/>
      <c r="H21" s="6">
        <f t="shared" si="0"/>
        <v>49.382716049382715</v>
      </c>
      <c r="I21" s="6"/>
      <c r="J21" s="51"/>
      <c r="K21" s="4">
        <v>2</v>
      </c>
      <c r="L21" s="4">
        <f>1+0</f>
        <v>1</v>
      </c>
      <c r="M21" s="4">
        <f>1+1</f>
        <v>2</v>
      </c>
      <c r="N21" s="4"/>
      <c r="O21" s="6">
        <f t="shared" si="1"/>
        <v>33.33333333333333</v>
      </c>
    </row>
    <row r="22" spans="1:15" ht="12.75">
      <c r="A22" t="s">
        <v>93</v>
      </c>
      <c r="B22" t="s">
        <v>61</v>
      </c>
      <c r="C22" s="4">
        <v>5</v>
      </c>
      <c r="D22" s="20" t="s">
        <v>241</v>
      </c>
      <c r="E22" s="4">
        <f>11+3+6+11+8</f>
        <v>39</v>
      </c>
      <c r="F22" s="4">
        <f>5+13+10+5+8</f>
        <v>41</v>
      </c>
      <c r="G22" s="4"/>
      <c r="H22" s="6">
        <f t="shared" si="0"/>
        <v>48.75</v>
      </c>
      <c r="I22" s="6"/>
      <c r="J22" s="51"/>
      <c r="K22" s="4">
        <v>2</v>
      </c>
      <c r="L22" s="4">
        <f>0+0</f>
        <v>0</v>
      </c>
      <c r="M22" s="4">
        <f>1+1</f>
        <v>2</v>
      </c>
      <c r="N22" s="4"/>
      <c r="O22" s="6">
        <f t="shared" si="1"/>
        <v>0</v>
      </c>
    </row>
    <row r="23" spans="1:15" ht="12.75">
      <c r="A23" t="s">
        <v>3</v>
      </c>
      <c r="B23" t="s">
        <v>248</v>
      </c>
      <c r="C23" s="4">
        <v>11</v>
      </c>
      <c r="D23" s="20" t="s">
        <v>249</v>
      </c>
      <c r="E23" s="14">
        <f>5+2+10+12+12+7+12+12+10+0+2</f>
        <v>84</v>
      </c>
      <c r="F23" s="4">
        <f>11+14+6+4+4+9+4+4+6+16+14</f>
        <v>92</v>
      </c>
      <c r="G23" s="4"/>
      <c r="H23" s="6">
        <f t="shared" si="0"/>
        <v>47.72727272727273</v>
      </c>
      <c r="I23" s="6"/>
      <c r="J23" s="50" t="s">
        <v>245</v>
      </c>
      <c r="K23" s="4">
        <v>6</v>
      </c>
      <c r="L23" s="4">
        <f>0+2+0+1+1+1</f>
        <v>5</v>
      </c>
      <c r="M23" s="4">
        <f>1+1+1+1+1+1</f>
        <v>6</v>
      </c>
      <c r="N23" s="4"/>
      <c r="O23" s="6">
        <f t="shared" si="1"/>
        <v>45.45454545454545</v>
      </c>
    </row>
    <row r="24" spans="1:15" ht="12.75">
      <c r="A24" t="s">
        <v>49</v>
      </c>
      <c r="B24" t="s">
        <v>26</v>
      </c>
      <c r="C24" s="4">
        <v>12</v>
      </c>
      <c r="D24" s="20" t="s">
        <v>233</v>
      </c>
      <c r="E24" s="4">
        <f>2+6+6+7+5+13+8+4+5+12+10+10</f>
        <v>88</v>
      </c>
      <c r="F24" s="4">
        <f>14+10+10+9+11+3+8+12+11+4+6+6</f>
        <v>104</v>
      </c>
      <c r="G24" s="4"/>
      <c r="H24" s="6">
        <f t="shared" si="0"/>
        <v>45.83333333333333</v>
      </c>
      <c r="I24" s="6"/>
      <c r="J24" s="51"/>
      <c r="K24" s="4">
        <v>4</v>
      </c>
      <c r="L24" s="4">
        <f>1+0+0+0</f>
        <v>1</v>
      </c>
      <c r="M24" s="4">
        <f>1+1+1+1</f>
        <v>4</v>
      </c>
      <c r="N24" s="4"/>
      <c r="O24" s="6">
        <f t="shared" si="1"/>
        <v>20</v>
      </c>
    </row>
    <row r="25" spans="1:15" ht="12.75">
      <c r="A25" t="s">
        <v>50</v>
      </c>
      <c r="B25" t="s">
        <v>85</v>
      </c>
      <c r="C25" s="4">
        <v>9</v>
      </c>
      <c r="D25" s="20" t="s">
        <v>250</v>
      </c>
      <c r="E25" s="4">
        <f>7+9+9+4+10+8+5+7+5</f>
        <v>64</v>
      </c>
      <c r="F25" s="4">
        <f>9+7+7+12+6+8+11+9+11</f>
        <v>80</v>
      </c>
      <c r="G25" s="4"/>
      <c r="H25" s="6">
        <f t="shared" si="0"/>
        <v>44.44444444444444</v>
      </c>
      <c r="I25" s="6"/>
      <c r="J25" s="51"/>
      <c r="K25" s="4">
        <v>3</v>
      </c>
      <c r="L25" s="4">
        <f>0+0+2</f>
        <v>2</v>
      </c>
      <c r="M25" s="4">
        <f>1+1+1</f>
        <v>3</v>
      </c>
      <c r="N25" s="4"/>
      <c r="O25" s="6">
        <f t="shared" si="1"/>
        <v>40</v>
      </c>
    </row>
    <row r="26" spans="1:15" ht="12.75">
      <c r="A26" t="s">
        <v>47</v>
      </c>
      <c r="B26" t="s">
        <v>82</v>
      </c>
      <c r="C26" s="4">
        <v>8</v>
      </c>
      <c r="D26" s="20" t="s">
        <v>251</v>
      </c>
      <c r="E26" s="4">
        <f>7+2+3+2+10+12+11+8</f>
        <v>55</v>
      </c>
      <c r="F26" s="4">
        <f>5+14+13+14+6+4+5+8</f>
        <v>69</v>
      </c>
      <c r="G26" s="4"/>
      <c r="H26" s="6">
        <f t="shared" si="0"/>
        <v>44.354838709677416</v>
      </c>
      <c r="J26" s="52"/>
      <c r="K26" s="4">
        <v>3</v>
      </c>
      <c r="L26" s="4">
        <f>1+1+0</f>
        <v>2</v>
      </c>
      <c r="M26" s="4">
        <f>1+1+1</f>
        <v>3</v>
      </c>
      <c r="O26" s="6">
        <f t="shared" si="1"/>
        <v>40</v>
      </c>
    </row>
    <row r="27" spans="1:15" ht="12.75">
      <c r="A27" t="s">
        <v>51</v>
      </c>
      <c r="B27" t="s">
        <v>17</v>
      </c>
      <c r="C27" s="4">
        <v>12</v>
      </c>
      <c r="D27" s="20" t="s">
        <v>233</v>
      </c>
      <c r="E27" s="4">
        <f>9+9+7+7+5+2+3+8+7+6+11+10</f>
        <v>84</v>
      </c>
      <c r="F27" s="4">
        <f>8+7+9+9+11+14+13+8+9+10+5+6</f>
        <v>109</v>
      </c>
      <c r="G27" s="4"/>
      <c r="H27" s="6">
        <f t="shared" si="0"/>
        <v>43.523316062176164</v>
      </c>
      <c r="I27" s="6"/>
      <c r="J27" s="50" t="s">
        <v>252</v>
      </c>
      <c r="K27" s="4">
        <v>3</v>
      </c>
      <c r="L27" s="4">
        <f>0+3+3</f>
        <v>6</v>
      </c>
      <c r="M27" s="4">
        <f>1+0+0</f>
        <v>1</v>
      </c>
      <c r="N27" s="4"/>
      <c r="O27" s="6">
        <f t="shared" si="1"/>
        <v>85.71428571428571</v>
      </c>
    </row>
    <row r="28" spans="1:15" ht="12.75">
      <c r="A28" t="s">
        <v>100</v>
      </c>
      <c r="B28" t="s">
        <v>253</v>
      </c>
      <c r="C28" s="4">
        <v>4</v>
      </c>
      <c r="D28" s="20" t="s">
        <v>254</v>
      </c>
      <c r="E28" s="4">
        <f>6+8+5+7</f>
        <v>26</v>
      </c>
      <c r="F28" s="4">
        <f>10+8+11+9</f>
        <v>38</v>
      </c>
      <c r="G28" s="4"/>
      <c r="H28" s="6">
        <f t="shared" si="0"/>
        <v>40.625</v>
      </c>
      <c r="J28" s="52"/>
      <c r="L28" s="4"/>
      <c r="M28" s="4"/>
      <c r="O28" s="6">
        <f t="shared" si="1"/>
      </c>
    </row>
    <row r="29" spans="1:15" ht="12.75">
      <c r="A29" s="23" t="s">
        <v>1</v>
      </c>
      <c r="B29" s="23" t="s">
        <v>59</v>
      </c>
      <c r="C29" s="4">
        <v>10</v>
      </c>
      <c r="D29" s="20" t="s">
        <v>255</v>
      </c>
      <c r="E29" s="4">
        <f>8+6+6+7+5+3+6+5+8+8</f>
        <v>62</v>
      </c>
      <c r="F29" s="4">
        <f>8+10+9+9+11+13+10+11+8+8</f>
        <v>97</v>
      </c>
      <c r="G29" s="4">
        <f>1</f>
        <v>1</v>
      </c>
      <c r="H29" s="6">
        <f t="shared" si="0"/>
        <v>38.9937106918239</v>
      </c>
      <c r="I29" s="6"/>
      <c r="J29" s="51"/>
      <c r="L29" s="4"/>
      <c r="M29" s="4"/>
      <c r="N29" s="4"/>
      <c r="O29" s="6">
        <f t="shared" si="1"/>
      </c>
    </row>
    <row r="30" spans="1:15" ht="12.75">
      <c r="A30" t="s">
        <v>256</v>
      </c>
      <c r="B30" t="s">
        <v>22</v>
      </c>
      <c r="C30" s="4">
        <v>2</v>
      </c>
      <c r="D30" s="20" t="s">
        <v>257</v>
      </c>
      <c r="E30" s="4">
        <f>3+8</f>
        <v>11</v>
      </c>
      <c r="F30" s="4">
        <f>10+8</f>
        <v>18</v>
      </c>
      <c r="G30" s="4"/>
      <c r="H30" s="6">
        <f t="shared" si="0"/>
        <v>37.93103448275862</v>
      </c>
      <c r="J30" s="52"/>
      <c r="L30" s="4"/>
      <c r="M30" s="4"/>
      <c r="O30" s="6">
        <f t="shared" si="1"/>
      </c>
    </row>
    <row r="31" spans="1:15" ht="12.75">
      <c r="A31" t="s">
        <v>258</v>
      </c>
      <c r="B31" t="s">
        <v>18</v>
      </c>
      <c r="C31" s="4">
        <v>1</v>
      </c>
      <c r="D31" s="20">
        <v>2017</v>
      </c>
      <c r="E31" s="4">
        <f>3</f>
        <v>3</v>
      </c>
      <c r="F31" s="4">
        <f>5</f>
        <v>5</v>
      </c>
      <c r="G31" s="4"/>
      <c r="H31" s="6">
        <f t="shared" si="0"/>
        <v>37.5</v>
      </c>
      <c r="J31" s="52"/>
      <c r="L31" s="4"/>
      <c r="M31" s="4"/>
      <c r="O31" s="6">
        <f t="shared" si="1"/>
      </c>
    </row>
    <row r="32" spans="1:15" ht="12.75">
      <c r="A32" t="s">
        <v>99</v>
      </c>
      <c r="B32" t="s">
        <v>15</v>
      </c>
      <c r="C32" s="4">
        <v>4</v>
      </c>
      <c r="D32" s="20" t="s">
        <v>254</v>
      </c>
      <c r="E32" s="4">
        <f>5+8+2+5</f>
        <v>20</v>
      </c>
      <c r="F32" s="4">
        <f>11+8+14+11</f>
        <v>44</v>
      </c>
      <c r="G32" s="4"/>
      <c r="H32" s="6">
        <f t="shared" si="0"/>
        <v>31.25</v>
      </c>
      <c r="J32" s="52"/>
      <c r="L32" s="4"/>
      <c r="M32" s="4"/>
      <c r="O32" s="6">
        <f t="shared" si="1"/>
      </c>
    </row>
    <row r="33" spans="1:15" ht="12.75">
      <c r="A33" t="s">
        <v>259</v>
      </c>
      <c r="B33" t="s">
        <v>260</v>
      </c>
      <c r="C33" s="4">
        <v>3</v>
      </c>
      <c r="D33" s="20" t="s">
        <v>261</v>
      </c>
      <c r="E33" s="4">
        <f>4+4+7</f>
        <v>15</v>
      </c>
      <c r="F33" s="4">
        <f>12+12+9</f>
        <v>33</v>
      </c>
      <c r="G33" s="4"/>
      <c r="H33" s="6">
        <f t="shared" si="0"/>
        <v>31.25</v>
      </c>
      <c r="J33" s="52"/>
      <c r="L33" s="4"/>
      <c r="M33" s="4"/>
      <c r="O33" s="6">
        <f t="shared" si="1"/>
      </c>
    </row>
    <row r="34" spans="4:15" ht="12.75">
      <c r="D34" s="20"/>
      <c r="E34" s="4"/>
      <c r="F34" s="4"/>
      <c r="G34" s="4"/>
      <c r="H34" s="6"/>
      <c r="J34" s="52"/>
      <c r="L34" s="4"/>
      <c r="M34" s="4"/>
      <c r="O34" s="6"/>
    </row>
    <row r="35" ht="12.75">
      <c r="J35" s="52"/>
    </row>
    <row r="36" spans="1:15" ht="12.75">
      <c r="A36" t="s">
        <v>34</v>
      </c>
      <c r="B36" t="s">
        <v>22</v>
      </c>
      <c r="C36" s="4">
        <v>11</v>
      </c>
      <c r="D36" s="20" t="s">
        <v>262</v>
      </c>
      <c r="E36" s="4">
        <f>4+8+12+13+12+14+8+11+13+9+3</f>
        <v>107</v>
      </c>
      <c r="F36" s="4">
        <f>4+8+4+3+3+2+8+5+3+7+0</f>
        <v>47</v>
      </c>
      <c r="G36" s="4">
        <f>1+1</f>
        <v>2</v>
      </c>
      <c r="H36" s="6">
        <f>IF(E36+F36=0,"",E36/(F36+E36)*100)</f>
        <v>69.48051948051948</v>
      </c>
      <c r="I36" s="6"/>
      <c r="J36" s="51"/>
      <c r="K36" s="4">
        <v>7</v>
      </c>
      <c r="L36" s="4">
        <f>1+1+0+0+0</f>
        <v>2</v>
      </c>
      <c r="M36" s="4">
        <f>1+1+1+1+1+1+1</f>
        <v>7</v>
      </c>
      <c r="N36" s="4"/>
      <c r="O36" s="6">
        <f>IF(L36+M36=0,"",L36/(M36+L36)*100)</f>
        <v>22.22222222222222</v>
      </c>
    </row>
    <row r="37" spans="1:15" ht="12.75">
      <c r="A37" t="s">
        <v>72</v>
      </c>
      <c r="B37" t="s">
        <v>63</v>
      </c>
      <c r="C37" s="4">
        <v>8</v>
      </c>
      <c r="D37" s="20" t="s">
        <v>98</v>
      </c>
      <c r="E37" s="4">
        <f>8+8+7+10+9+8+8+10</f>
        <v>68</v>
      </c>
      <c r="F37" s="4">
        <f>8+8+9+9+7+8+8+8</f>
        <v>65</v>
      </c>
      <c r="G37" s="4"/>
      <c r="H37" s="6">
        <f>IF(E37+F37=0,"",E37/(F37+E37)*100)</f>
        <v>51.127819548872175</v>
      </c>
      <c r="I37" s="6"/>
      <c r="J37" s="51"/>
      <c r="K37" s="4">
        <v>2</v>
      </c>
      <c r="L37" s="4">
        <f>1+0</f>
        <v>1</v>
      </c>
      <c r="M37" s="4">
        <f>1+1</f>
        <v>2</v>
      </c>
      <c r="N37" s="4"/>
      <c r="O37" s="6">
        <f aca="true" t="shared" si="2" ref="O37:O64">IF(L37+M37=0,"",L37/(M37+L37)*100)</f>
        <v>33.33333333333333</v>
      </c>
    </row>
    <row r="38" spans="1:15" ht="12.75">
      <c r="A38" t="s">
        <v>44</v>
      </c>
      <c r="B38" t="s">
        <v>15</v>
      </c>
      <c r="C38" s="4">
        <v>7</v>
      </c>
      <c r="D38" s="20" t="s">
        <v>87</v>
      </c>
      <c r="E38" s="4">
        <f>3+9+9+15+7+10+6</f>
        <v>59</v>
      </c>
      <c r="F38" s="4">
        <f>13+7+7+1+9+6+10</f>
        <v>53</v>
      </c>
      <c r="G38" s="4"/>
      <c r="H38" s="6">
        <f>IF(E38+F38=0,"",E38/(F38+E38)*100)</f>
        <v>52.67857142857143</v>
      </c>
      <c r="I38" s="6"/>
      <c r="J38" s="50" t="s">
        <v>245</v>
      </c>
      <c r="K38" s="4">
        <v>4</v>
      </c>
      <c r="L38" s="4">
        <f>0+1+2+0</f>
        <v>3</v>
      </c>
      <c r="M38" s="4">
        <f>1+1+1+1</f>
        <v>4</v>
      </c>
      <c r="N38" s="4"/>
      <c r="O38" s="6">
        <f t="shared" si="2"/>
        <v>42.857142857142854</v>
      </c>
    </row>
    <row r="39" spans="1:15" ht="12.75">
      <c r="A39" t="s">
        <v>75</v>
      </c>
      <c r="B39" t="s">
        <v>18</v>
      </c>
      <c r="C39" s="4">
        <v>10</v>
      </c>
      <c r="D39" s="20" t="s">
        <v>255</v>
      </c>
      <c r="E39" s="4">
        <f>2+1+9+4+3+10+9+7+12+2</f>
        <v>59</v>
      </c>
      <c r="F39" s="4">
        <f>2+15+7+12+13+6+7+9+4+6</f>
        <v>81</v>
      </c>
      <c r="G39" s="4"/>
      <c r="H39" s="6">
        <f>IF(E39+F39=0,"",E39/(F39+E39)*100)</f>
        <v>42.142857142857146</v>
      </c>
      <c r="I39" s="6"/>
      <c r="J39" s="51"/>
      <c r="K39" s="4">
        <v>4</v>
      </c>
      <c r="L39" s="4">
        <f>0+1+0</f>
        <v>1</v>
      </c>
      <c r="M39" s="4">
        <f>2+1+1</f>
        <v>4</v>
      </c>
      <c r="N39" s="4"/>
      <c r="O39" s="6">
        <f>IF(L39+M39=0,"",L39/(M39+L39)*100)</f>
        <v>20</v>
      </c>
    </row>
    <row r="40" spans="1:15" ht="12.75">
      <c r="A40" t="s">
        <v>70</v>
      </c>
      <c r="B40" s="21" t="s">
        <v>94</v>
      </c>
      <c r="C40" s="4">
        <v>10</v>
      </c>
      <c r="D40" s="20" t="s">
        <v>263</v>
      </c>
      <c r="E40" s="4">
        <f>0+11+5+5+8+7+5+6+3+7</f>
        <v>57</v>
      </c>
      <c r="F40" s="4">
        <f>3+5+11+11+8+9+11+10+13+9</f>
        <v>90</v>
      </c>
      <c r="G40" s="4"/>
      <c r="H40" s="6">
        <f>IF(E40+F40=0,"",E40/(F40+E40)*100)</f>
        <v>38.775510204081634</v>
      </c>
      <c r="J40" s="52"/>
      <c r="K40" s="4">
        <v>1</v>
      </c>
      <c r="L40" s="4">
        <f>0</f>
        <v>0</v>
      </c>
      <c r="M40" s="4">
        <f>1</f>
        <v>1</v>
      </c>
      <c r="O40" s="6">
        <f>IF(L40+M40=0,"",L40/(M40+L40)*100)</f>
        <v>0</v>
      </c>
    </row>
    <row r="41" spans="1:15" ht="12.75">
      <c r="A41" t="s">
        <v>2</v>
      </c>
      <c r="B41" t="s">
        <v>12</v>
      </c>
      <c r="C41" s="4">
        <v>7</v>
      </c>
      <c r="D41" s="20" t="s">
        <v>87</v>
      </c>
      <c r="E41" s="4">
        <f>4+5+7+9+10+9+10</f>
        <v>54</v>
      </c>
      <c r="F41" s="4">
        <f>12+11+9+10+6+7+6</f>
        <v>61</v>
      </c>
      <c r="G41" s="4"/>
      <c r="H41" s="6">
        <f aca="true" t="shared" si="3" ref="H41:H66">IF(E41+F41=0,"",E41/(F41+E41)*100)</f>
        <v>46.95652173913044</v>
      </c>
      <c r="J41" s="50" t="s">
        <v>245</v>
      </c>
      <c r="K41" s="4">
        <v>3</v>
      </c>
      <c r="L41" s="4">
        <f>1+1+2</f>
        <v>4</v>
      </c>
      <c r="M41" s="4">
        <f>1+1+1</f>
        <v>3</v>
      </c>
      <c r="O41" s="6">
        <f t="shared" si="2"/>
        <v>57.14285714285714</v>
      </c>
    </row>
    <row r="42" spans="1:15" ht="12.75">
      <c r="A42" t="s">
        <v>43</v>
      </c>
      <c r="B42" t="s">
        <v>56</v>
      </c>
      <c r="C42" s="4">
        <v>9</v>
      </c>
      <c r="D42" s="20" t="s">
        <v>101</v>
      </c>
      <c r="E42" s="4">
        <f>4+9+6+4+3+8+5+6+8</f>
        <v>53</v>
      </c>
      <c r="F42" s="4">
        <f>12+7+10+12+13+8+11+10+8</f>
        <v>91</v>
      </c>
      <c r="G42" s="4"/>
      <c r="H42" s="6">
        <f>IF(E42+F42=0,"",E42/(F42+E42)*100)</f>
        <v>36.80555555555556</v>
      </c>
      <c r="I42" s="6"/>
      <c r="J42" s="51"/>
      <c r="K42" s="4">
        <v>1</v>
      </c>
      <c r="L42" s="4">
        <f>2</f>
        <v>2</v>
      </c>
      <c r="M42" s="14">
        <f>1</f>
        <v>1</v>
      </c>
      <c r="N42" s="4"/>
      <c r="O42" s="6">
        <f>IF(L42+M42=0,"",L42/(M42+L42)*100)</f>
        <v>66.66666666666666</v>
      </c>
    </row>
    <row r="43" spans="1:15" ht="12.75">
      <c r="A43" t="s">
        <v>30</v>
      </c>
      <c r="B43" s="21" t="s">
        <v>20</v>
      </c>
      <c r="C43" s="4">
        <v>6</v>
      </c>
      <c r="D43" s="20" t="s">
        <v>86</v>
      </c>
      <c r="E43" s="4">
        <f>4+8+9+8+7+6</f>
        <v>42</v>
      </c>
      <c r="F43" s="4">
        <f>12+8+7+8+9+10</f>
        <v>54</v>
      </c>
      <c r="G43" s="4"/>
      <c r="H43" s="6">
        <f t="shared" si="3"/>
        <v>43.75</v>
      </c>
      <c r="I43" s="6"/>
      <c r="J43" s="51"/>
      <c r="K43" s="4">
        <v>1</v>
      </c>
      <c r="L43" s="4">
        <f>0</f>
        <v>0</v>
      </c>
      <c r="M43" s="4">
        <f>1</f>
        <v>1</v>
      </c>
      <c r="N43" s="4"/>
      <c r="O43" s="6">
        <f t="shared" si="2"/>
        <v>0</v>
      </c>
    </row>
    <row r="44" spans="1:15" ht="12.75">
      <c r="A44" t="s">
        <v>42</v>
      </c>
      <c r="B44" t="s">
        <v>11</v>
      </c>
      <c r="C44" s="4">
        <v>5</v>
      </c>
      <c r="D44" s="20" t="s">
        <v>83</v>
      </c>
      <c r="E44" s="4">
        <f>9+12+11+5+4</f>
        <v>41</v>
      </c>
      <c r="F44" s="4">
        <f>8+4+5+11+2</f>
        <v>30</v>
      </c>
      <c r="G44" s="4"/>
      <c r="H44" s="6">
        <f t="shared" si="3"/>
        <v>57.74647887323944</v>
      </c>
      <c r="I44" s="6"/>
      <c r="J44" s="51"/>
      <c r="K44" s="4">
        <v>2</v>
      </c>
      <c r="L44" s="4">
        <f>1+0</f>
        <v>1</v>
      </c>
      <c r="M44" s="4">
        <f>1+1</f>
        <v>2</v>
      </c>
      <c r="N44" s="4"/>
      <c r="O44" s="6">
        <f t="shared" si="2"/>
        <v>33.33333333333333</v>
      </c>
    </row>
    <row r="45" spans="1:15" ht="12.75">
      <c r="A45" t="s">
        <v>79</v>
      </c>
      <c r="B45" t="s">
        <v>52</v>
      </c>
      <c r="C45" s="4">
        <v>5</v>
      </c>
      <c r="D45" s="20" t="s">
        <v>102</v>
      </c>
      <c r="E45" s="4">
        <f>10+12+7+5+7</f>
        <v>41</v>
      </c>
      <c r="F45" s="4">
        <f>6+4+9+11+9</f>
        <v>39</v>
      </c>
      <c r="G45" s="4"/>
      <c r="H45" s="6">
        <f>IF(E45+F45=0,"",E45/(F45+E45)*100)</f>
        <v>51.24999999999999</v>
      </c>
      <c r="I45" s="6"/>
      <c r="J45" s="50" t="s">
        <v>245</v>
      </c>
      <c r="K45" s="4">
        <v>2</v>
      </c>
      <c r="L45" s="4">
        <f>2+2</f>
        <v>4</v>
      </c>
      <c r="M45" s="4">
        <f>1+1</f>
        <v>2</v>
      </c>
      <c r="N45" s="4"/>
      <c r="O45" s="6">
        <f>IF(L45+M45=0,"",L45/(M45+L45)*100)</f>
        <v>66.66666666666666</v>
      </c>
    </row>
    <row r="46" spans="1:15" ht="12.75">
      <c r="A46" t="s">
        <v>45</v>
      </c>
      <c r="B46" t="s">
        <v>91</v>
      </c>
      <c r="C46" s="4">
        <v>5</v>
      </c>
      <c r="D46" s="5" t="s">
        <v>90</v>
      </c>
      <c r="E46" s="4">
        <f>7+10+3+9+2</f>
        <v>31</v>
      </c>
      <c r="F46" s="4">
        <f>5+7+13+7+14</f>
        <v>46</v>
      </c>
      <c r="G46" s="4"/>
      <c r="H46" s="6">
        <f t="shared" si="3"/>
        <v>40.25974025974026</v>
      </c>
      <c r="I46" s="6"/>
      <c r="J46" s="51"/>
      <c r="K46" s="4">
        <v>2</v>
      </c>
      <c r="L46" s="4">
        <f>0+0</f>
        <v>0</v>
      </c>
      <c r="M46" s="4">
        <f>1+1</f>
        <v>2</v>
      </c>
      <c r="N46" s="4"/>
      <c r="O46" s="6">
        <f t="shared" si="2"/>
        <v>0</v>
      </c>
    </row>
    <row r="47" spans="1:15" ht="12.75">
      <c r="A47" t="s">
        <v>29</v>
      </c>
      <c r="B47" t="s">
        <v>0</v>
      </c>
      <c r="C47" s="4">
        <v>3</v>
      </c>
      <c r="D47" s="20" t="s">
        <v>4</v>
      </c>
      <c r="E47" s="4">
        <f>14+9+2</f>
        <v>25</v>
      </c>
      <c r="F47" s="4">
        <f>2+7+2</f>
        <v>11</v>
      </c>
      <c r="G47" s="4"/>
      <c r="H47" s="6">
        <f t="shared" si="3"/>
        <v>69.44444444444444</v>
      </c>
      <c r="I47" s="6"/>
      <c r="J47" s="50" t="s">
        <v>245</v>
      </c>
      <c r="K47" s="4">
        <v>3</v>
      </c>
      <c r="L47" s="4">
        <f>2+1+1</f>
        <v>4</v>
      </c>
      <c r="M47" s="4">
        <f>1+1+1</f>
        <v>3</v>
      </c>
      <c r="N47" s="4"/>
      <c r="O47" s="6">
        <f t="shared" si="2"/>
        <v>57.14285714285714</v>
      </c>
    </row>
    <row r="48" spans="1:15" ht="12.75">
      <c r="A48" t="s">
        <v>62</v>
      </c>
      <c r="B48" t="s">
        <v>16</v>
      </c>
      <c r="C48" s="4">
        <v>3</v>
      </c>
      <c r="D48" s="20" t="s">
        <v>4</v>
      </c>
      <c r="E48" s="4">
        <f>5+15+5</f>
        <v>25</v>
      </c>
      <c r="F48" s="4">
        <f>11+1+11</f>
        <v>23</v>
      </c>
      <c r="G48" s="4"/>
      <c r="H48" s="6">
        <f t="shared" si="3"/>
        <v>52.083333333333336</v>
      </c>
      <c r="I48" s="6"/>
      <c r="J48" s="51"/>
      <c r="K48" s="4">
        <v>1</v>
      </c>
      <c r="L48" s="4">
        <f>0</f>
        <v>0</v>
      </c>
      <c r="M48" s="4">
        <f>1</f>
        <v>1</v>
      </c>
      <c r="N48" s="4"/>
      <c r="O48" s="6">
        <f t="shared" si="2"/>
        <v>0</v>
      </c>
    </row>
    <row r="49" spans="1:15" ht="12.75">
      <c r="A49" t="s">
        <v>53</v>
      </c>
      <c r="B49" t="s">
        <v>19</v>
      </c>
      <c r="C49" s="4">
        <v>3</v>
      </c>
      <c r="D49" s="20" t="s">
        <v>4</v>
      </c>
      <c r="E49" s="4">
        <f>10+5+6</f>
        <v>21</v>
      </c>
      <c r="F49" s="4">
        <f>7+11+10</f>
        <v>28</v>
      </c>
      <c r="G49" s="4"/>
      <c r="H49" s="6">
        <f t="shared" si="3"/>
        <v>42.857142857142854</v>
      </c>
      <c r="I49" s="6"/>
      <c r="J49" s="51"/>
      <c r="K49" s="4">
        <v>1</v>
      </c>
      <c r="L49" s="4">
        <f>0</f>
        <v>0</v>
      </c>
      <c r="M49" s="4">
        <f>1</f>
        <v>1</v>
      </c>
      <c r="N49" s="4"/>
      <c r="O49" s="6">
        <f t="shared" si="2"/>
        <v>0</v>
      </c>
    </row>
    <row r="50" spans="1:15" ht="12.75">
      <c r="A50" t="s">
        <v>264</v>
      </c>
      <c r="B50" t="s">
        <v>0</v>
      </c>
      <c r="C50" s="4">
        <v>2</v>
      </c>
      <c r="D50" s="20" t="s">
        <v>265</v>
      </c>
      <c r="E50" s="4">
        <f>7+8</f>
        <v>15</v>
      </c>
      <c r="F50" s="4">
        <f>9+8</f>
        <v>17</v>
      </c>
      <c r="G50" s="4"/>
      <c r="H50" s="6">
        <f>IF(E50+F50=0,"",E50/(F50+E50)*100)</f>
        <v>46.875</v>
      </c>
      <c r="J50" s="52"/>
      <c r="L50" s="4"/>
      <c r="M50" s="4"/>
      <c r="O50" s="6">
        <f>IF(L50+M50=0,"",L50/(M50+L50)*100)</f>
      </c>
    </row>
    <row r="51" spans="1:15" ht="12.75">
      <c r="A51" t="s">
        <v>46</v>
      </c>
      <c r="B51" t="s">
        <v>80</v>
      </c>
      <c r="C51" s="4">
        <v>1</v>
      </c>
      <c r="D51" s="20" t="s">
        <v>84</v>
      </c>
      <c r="E51" s="4">
        <f>9+4</f>
        <v>13</v>
      </c>
      <c r="F51" s="4">
        <f>6+6</f>
        <v>12</v>
      </c>
      <c r="G51" s="4">
        <f>1</f>
        <v>1</v>
      </c>
      <c r="H51" s="6">
        <f t="shared" si="3"/>
        <v>52</v>
      </c>
      <c r="I51" s="6"/>
      <c r="J51" s="51"/>
      <c r="K51" s="4">
        <v>1</v>
      </c>
      <c r="L51" s="4">
        <f>1</f>
        <v>1</v>
      </c>
      <c r="M51" s="4">
        <f>1</f>
        <v>1</v>
      </c>
      <c r="N51" s="4"/>
      <c r="O51" s="6">
        <f t="shared" si="2"/>
        <v>50</v>
      </c>
    </row>
    <row r="52" spans="1:15" ht="12.75">
      <c r="A52" t="s">
        <v>68</v>
      </c>
      <c r="B52" t="s">
        <v>18</v>
      </c>
      <c r="C52" s="4">
        <v>3</v>
      </c>
      <c r="D52" s="20" t="s">
        <v>4</v>
      </c>
      <c r="E52" s="4">
        <f>4+5+4</f>
        <v>13</v>
      </c>
      <c r="F52" s="4">
        <f>1+11+8</f>
        <v>20</v>
      </c>
      <c r="G52" s="4"/>
      <c r="H52" s="6">
        <f t="shared" si="3"/>
        <v>39.39393939393939</v>
      </c>
      <c r="I52" s="6"/>
      <c r="J52" s="51"/>
      <c r="K52" s="4">
        <v>1</v>
      </c>
      <c r="L52" s="4">
        <f>0</f>
        <v>0</v>
      </c>
      <c r="M52" s="4">
        <f>1</f>
        <v>1</v>
      </c>
      <c r="N52" s="4"/>
      <c r="O52" s="6">
        <f t="shared" si="2"/>
        <v>0</v>
      </c>
    </row>
    <row r="53" spans="1:15" ht="12.75">
      <c r="A53" t="s">
        <v>60</v>
      </c>
      <c r="B53" t="s">
        <v>61</v>
      </c>
      <c r="C53" s="4">
        <v>2</v>
      </c>
      <c r="D53" s="20" t="s">
        <v>71</v>
      </c>
      <c r="E53" s="4">
        <f>5+5</f>
        <v>10</v>
      </c>
      <c r="F53" s="4">
        <f>3+8</f>
        <v>11</v>
      </c>
      <c r="G53" s="4"/>
      <c r="H53" s="6">
        <f t="shared" si="3"/>
        <v>47.61904761904761</v>
      </c>
      <c r="I53" s="6"/>
      <c r="J53" s="51"/>
      <c r="L53" s="4"/>
      <c r="M53" s="4"/>
      <c r="N53" s="4"/>
      <c r="O53" s="6">
        <f t="shared" si="2"/>
      </c>
    </row>
    <row r="54" spans="1:15" ht="12.75">
      <c r="A54" t="s">
        <v>39</v>
      </c>
      <c r="B54" t="s">
        <v>74</v>
      </c>
      <c r="C54" s="4">
        <v>2</v>
      </c>
      <c r="D54" s="5" t="s">
        <v>76</v>
      </c>
      <c r="E54" s="4">
        <f>4+6</f>
        <v>10</v>
      </c>
      <c r="F54" s="4">
        <f>12+10</f>
        <v>22</v>
      </c>
      <c r="G54" s="4"/>
      <c r="H54" s="6">
        <f t="shared" si="3"/>
        <v>31.25</v>
      </c>
      <c r="I54" s="6"/>
      <c r="J54" s="51"/>
      <c r="L54" s="4"/>
      <c r="M54" s="4"/>
      <c r="N54" s="4"/>
      <c r="O54" s="6">
        <f t="shared" si="2"/>
      </c>
    </row>
    <row r="55" spans="1:15" ht="12.75">
      <c r="A55" t="s">
        <v>54</v>
      </c>
      <c r="B55" t="s">
        <v>18</v>
      </c>
      <c r="C55" s="4">
        <v>1</v>
      </c>
      <c r="D55" s="20">
        <v>2006</v>
      </c>
      <c r="E55" s="4">
        <f>7</f>
        <v>7</v>
      </c>
      <c r="F55" s="4">
        <f>4</f>
        <v>4</v>
      </c>
      <c r="G55" s="4"/>
      <c r="H55" s="6">
        <f t="shared" si="3"/>
        <v>63.63636363636363</v>
      </c>
      <c r="J55" s="52"/>
      <c r="L55" s="4"/>
      <c r="M55" s="4"/>
      <c r="O55" s="6">
        <f t="shared" si="2"/>
      </c>
    </row>
    <row r="56" spans="1:15" ht="12.75">
      <c r="A56" t="s">
        <v>69</v>
      </c>
      <c r="B56" t="s">
        <v>59</v>
      </c>
      <c r="C56" s="4">
        <v>1</v>
      </c>
      <c r="D56" s="5">
        <v>2007</v>
      </c>
      <c r="E56" s="4">
        <f>7</f>
        <v>7</v>
      </c>
      <c r="F56" s="4">
        <f>9</f>
        <v>9</v>
      </c>
      <c r="G56" s="4"/>
      <c r="H56" s="6">
        <f t="shared" si="3"/>
        <v>43.75</v>
      </c>
      <c r="I56" s="6"/>
      <c r="J56" s="51"/>
      <c r="L56" s="4"/>
      <c r="M56" s="4"/>
      <c r="N56" s="4"/>
      <c r="O56" s="6">
        <f t="shared" si="2"/>
      </c>
    </row>
    <row r="57" spans="1:15" ht="12.75">
      <c r="A57" t="s">
        <v>67</v>
      </c>
      <c r="B57" t="s">
        <v>24</v>
      </c>
      <c r="C57" s="4">
        <v>1</v>
      </c>
      <c r="D57" s="5">
        <v>2006</v>
      </c>
      <c r="E57" s="4">
        <f>5</f>
        <v>5</v>
      </c>
      <c r="F57" s="4">
        <f>2</f>
        <v>2</v>
      </c>
      <c r="G57" s="4"/>
      <c r="H57" s="6">
        <f t="shared" si="3"/>
        <v>71.42857142857143</v>
      </c>
      <c r="I57" s="6"/>
      <c r="J57" s="51"/>
      <c r="K57" s="4">
        <v>1</v>
      </c>
      <c r="L57" s="4">
        <f>0</f>
        <v>0</v>
      </c>
      <c r="M57" s="4">
        <f>1</f>
        <v>1</v>
      </c>
      <c r="N57" s="4"/>
      <c r="O57" s="6">
        <f t="shared" si="2"/>
        <v>0</v>
      </c>
    </row>
    <row r="58" spans="1:15" ht="12.75">
      <c r="A58" t="s">
        <v>64</v>
      </c>
      <c r="B58" t="s">
        <v>61</v>
      </c>
      <c r="C58" s="4">
        <v>1</v>
      </c>
      <c r="D58" s="20">
        <v>2006</v>
      </c>
      <c r="E58" s="4">
        <f>5</f>
        <v>5</v>
      </c>
      <c r="F58" s="4">
        <f>4</f>
        <v>4</v>
      </c>
      <c r="G58" s="4"/>
      <c r="H58" s="6">
        <f t="shared" si="3"/>
        <v>55.55555555555556</v>
      </c>
      <c r="I58" s="6"/>
      <c r="J58" s="51"/>
      <c r="K58" s="4">
        <v>1</v>
      </c>
      <c r="L58" s="4">
        <f>1</f>
        <v>1</v>
      </c>
      <c r="M58" s="4">
        <f>1</f>
        <v>1</v>
      </c>
      <c r="N58" s="4"/>
      <c r="O58" s="6">
        <f t="shared" si="2"/>
        <v>50</v>
      </c>
    </row>
    <row r="59" spans="1:15" ht="12.75">
      <c r="A59" t="s">
        <v>55</v>
      </c>
      <c r="B59" t="s">
        <v>24</v>
      </c>
      <c r="C59" s="4">
        <v>1</v>
      </c>
      <c r="D59" s="20">
        <v>2006</v>
      </c>
      <c r="E59" s="4">
        <f>5</f>
        <v>5</v>
      </c>
      <c r="F59" s="4">
        <f>5</f>
        <v>5</v>
      </c>
      <c r="G59" s="4"/>
      <c r="H59" s="6">
        <f t="shared" si="3"/>
        <v>50</v>
      </c>
      <c r="I59" s="6"/>
      <c r="J59" s="51"/>
      <c r="L59" s="4"/>
      <c r="M59" s="4"/>
      <c r="N59" s="4"/>
      <c r="O59" s="6">
        <f t="shared" si="2"/>
      </c>
    </row>
    <row r="60" spans="1:15" ht="12.75">
      <c r="A60" t="s">
        <v>66</v>
      </c>
      <c r="B60" t="s">
        <v>59</v>
      </c>
      <c r="C60" s="4">
        <v>1</v>
      </c>
      <c r="D60" s="20">
        <v>2006</v>
      </c>
      <c r="E60" s="4">
        <f>5</f>
        <v>5</v>
      </c>
      <c r="F60" s="4">
        <f>6</f>
        <v>6</v>
      </c>
      <c r="G60" s="4"/>
      <c r="H60" s="6">
        <f t="shared" si="3"/>
        <v>45.45454545454545</v>
      </c>
      <c r="I60" s="6"/>
      <c r="J60" s="51"/>
      <c r="L60" s="4"/>
      <c r="M60" s="4"/>
      <c r="N60" s="4"/>
      <c r="O60" s="6">
        <f t="shared" si="2"/>
      </c>
    </row>
    <row r="61" spans="1:15" ht="12.75">
      <c r="A61" t="s">
        <v>32</v>
      </c>
      <c r="B61" t="s">
        <v>52</v>
      </c>
      <c r="C61" s="4">
        <v>1</v>
      </c>
      <c r="D61" s="5">
        <v>2006</v>
      </c>
      <c r="E61" s="4">
        <f>4</f>
        <v>4</v>
      </c>
      <c r="F61" s="4">
        <f>8</f>
        <v>8</v>
      </c>
      <c r="G61" s="4"/>
      <c r="H61" s="6">
        <f t="shared" si="3"/>
        <v>33.33333333333333</v>
      </c>
      <c r="I61" s="6"/>
      <c r="J61" s="51"/>
      <c r="L61" s="4"/>
      <c r="M61" s="4"/>
      <c r="N61" s="4"/>
      <c r="O61" s="6">
        <f t="shared" si="2"/>
      </c>
    </row>
    <row r="62" spans="1:15" ht="12.75">
      <c r="A62" t="s">
        <v>58</v>
      </c>
      <c r="B62" t="s">
        <v>59</v>
      </c>
      <c r="C62" s="4">
        <v>1</v>
      </c>
      <c r="D62" s="20">
        <v>2006</v>
      </c>
      <c r="E62" s="4">
        <f>3</f>
        <v>3</v>
      </c>
      <c r="F62" s="4">
        <f>2</f>
        <v>2</v>
      </c>
      <c r="G62" s="4"/>
      <c r="H62" s="6">
        <f t="shared" si="3"/>
        <v>60</v>
      </c>
      <c r="I62" s="6"/>
      <c r="J62" s="51"/>
      <c r="L62" s="4"/>
      <c r="M62" s="4"/>
      <c r="N62" s="4"/>
      <c r="O62" s="6">
        <f t="shared" si="2"/>
      </c>
    </row>
    <row r="63" spans="1:15" ht="12.75">
      <c r="A63" t="s">
        <v>47</v>
      </c>
      <c r="B63" t="s">
        <v>22</v>
      </c>
      <c r="C63" s="4">
        <v>1</v>
      </c>
      <c r="D63" s="20">
        <v>2006</v>
      </c>
      <c r="E63" s="4">
        <f>3</f>
        <v>3</v>
      </c>
      <c r="F63" s="4">
        <f>4</f>
        <v>4</v>
      </c>
      <c r="G63" s="4"/>
      <c r="H63" s="6">
        <f t="shared" si="3"/>
        <v>42.857142857142854</v>
      </c>
      <c r="J63" s="52"/>
      <c r="L63" s="4"/>
      <c r="M63" s="4"/>
      <c r="O63" s="6">
        <f t="shared" si="2"/>
      </c>
    </row>
    <row r="64" spans="1:15" ht="12.75">
      <c r="A64" t="s">
        <v>92</v>
      </c>
      <c r="B64" t="s">
        <v>0</v>
      </c>
      <c r="C64" s="4">
        <v>1</v>
      </c>
      <c r="D64" s="5">
        <v>2013</v>
      </c>
      <c r="E64" s="4">
        <f>3</f>
        <v>3</v>
      </c>
      <c r="F64" s="4">
        <f>13</f>
        <v>13</v>
      </c>
      <c r="G64" s="4"/>
      <c r="H64" s="6">
        <f t="shared" si="3"/>
        <v>18.75</v>
      </c>
      <c r="I64" s="6"/>
      <c r="J64" s="51"/>
      <c r="L64" s="4"/>
      <c r="M64" s="4"/>
      <c r="N64" s="4"/>
      <c r="O64" s="6">
        <f t="shared" si="2"/>
      </c>
    </row>
    <row r="65" spans="1:15" ht="12.75">
      <c r="A65" t="s">
        <v>78</v>
      </c>
      <c r="B65" t="s">
        <v>19</v>
      </c>
      <c r="C65" s="4">
        <v>1</v>
      </c>
      <c r="D65" s="5">
        <v>2009</v>
      </c>
      <c r="E65" s="4">
        <f>2</f>
        <v>2</v>
      </c>
      <c r="F65" s="4">
        <f>7</f>
        <v>7</v>
      </c>
      <c r="G65" s="4"/>
      <c r="H65" s="6">
        <f t="shared" si="3"/>
        <v>22.22222222222222</v>
      </c>
      <c r="I65" s="6"/>
      <c r="J65" s="51"/>
      <c r="L65" s="4"/>
      <c r="M65" s="4"/>
      <c r="N65" s="4"/>
      <c r="O65" s="6"/>
    </row>
    <row r="66" spans="1:15" ht="12.75">
      <c r="A66" t="s">
        <v>81</v>
      </c>
      <c r="B66" t="s">
        <v>82</v>
      </c>
      <c r="C66" s="4">
        <v>1</v>
      </c>
      <c r="D66" s="5">
        <v>2010</v>
      </c>
      <c r="E66" s="4">
        <f>1</f>
        <v>1</v>
      </c>
      <c r="F66" s="4">
        <f>3</f>
        <v>3</v>
      </c>
      <c r="G66" s="4"/>
      <c r="H66" s="6">
        <f t="shared" si="3"/>
        <v>25</v>
      </c>
      <c r="I66" s="6"/>
      <c r="J66" s="51"/>
      <c r="L66" s="4"/>
      <c r="M66" s="4"/>
      <c r="N66" s="4"/>
      <c r="O66" s="6">
        <f>IF(L66+M66=0,"",L66/(M66+L66)*100)</f>
      </c>
    </row>
    <row r="67" spans="1:15" ht="12.75">
      <c r="A67" t="s">
        <v>77</v>
      </c>
      <c r="B67" t="s">
        <v>19</v>
      </c>
      <c r="C67" s="4">
        <v>1</v>
      </c>
      <c r="D67" s="5">
        <v>2009</v>
      </c>
      <c r="E67" s="4">
        <f>0</f>
        <v>0</v>
      </c>
      <c r="F67" s="4">
        <f>7</f>
        <v>7</v>
      </c>
      <c r="G67" s="4"/>
      <c r="H67" s="6">
        <f>IF(E67+F67=0,"",E67/(F67+E67)*100)</f>
        <v>0</v>
      </c>
      <c r="I67" s="6"/>
      <c r="J67" s="51"/>
      <c r="L67" s="4"/>
      <c r="M67" s="4"/>
      <c r="N67" s="4"/>
      <c r="O67" s="6">
        <f>IF(L67+M67=0,"",L67/(M67+L67)*100)</f>
      </c>
    </row>
    <row r="68" spans="4:15" ht="12.75">
      <c r="D68" s="5"/>
      <c r="E68" s="4"/>
      <c r="F68" s="4"/>
      <c r="G68" s="4"/>
      <c r="H68" s="6">
        <f>IF(E68+F68=0,"",E68/(F68+E68)*100)</f>
      </c>
      <c r="I68" s="6"/>
      <c r="J68" s="2"/>
      <c r="L68" s="4"/>
      <c r="M68" s="4"/>
      <c r="N68" s="4"/>
      <c r="O68" s="6">
        <f>IF(L68+M68=0,"",L68/(M68+L68)*100)</f>
      </c>
    </row>
    <row r="69" spans="4:15" ht="12.75">
      <c r="D69" s="5"/>
      <c r="E69" s="4"/>
      <c r="F69" s="4"/>
      <c r="G69" s="4"/>
      <c r="H69" s="6">
        <f>IF(E69+F69=0,"",E69/(F69+E69)*100)</f>
      </c>
      <c r="I69" s="6"/>
      <c r="J69" s="2"/>
      <c r="L69" s="4"/>
      <c r="M69" s="4"/>
      <c r="N69" s="4"/>
      <c r="O69" s="6">
        <f>IF(L69+M69=0,"",L69/(M69+L69)*100)</f>
      </c>
    </row>
    <row r="70" spans="4:15" ht="12.75">
      <c r="D70" s="5"/>
      <c r="E70" s="4"/>
      <c r="F70" s="4"/>
      <c r="G70" s="4"/>
      <c r="H70" s="6">
        <f>IF(E70+F70=0,"",E70/(F70+E70)*100)</f>
      </c>
      <c r="I70" s="6"/>
      <c r="J70" s="2"/>
      <c r="L70" s="4"/>
      <c r="M70" s="4"/>
      <c r="N70" s="4"/>
      <c r="O70" s="6">
        <f>IF(L70+M70=0,"",L70/(M70+L70)*100)</f>
      </c>
    </row>
    <row r="71" spans="4:15" ht="12.75">
      <c r="D71" s="5"/>
      <c r="E71" s="4"/>
      <c r="F71" s="4"/>
      <c r="G71" s="4"/>
      <c r="H71" s="6">
        <f>IF(E71+F71=0,"",E71/(F71+E71)*100)</f>
      </c>
      <c r="I71" s="6"/>
      <c r="J71" s="2"/>
      <c r="L71" s="4"/>
      <c r="M71" s="4"/>
      <c r="N71" s="4"/>
      <c r="O71" s="6"/>
    </row>
    <row r="73" spans="5:14" ht="12.75">
      <c r="E73" s="4">
        <f>SUM(E10:E72)</f>
        <v>2312</v>
      </c>
      <c r="F73" s="4">
        <f>SUM(F10:F72)</f>
        <v>2312</v>
      </c>
      <c r="G73" s="4">
        <f>SUM(G10:G72)</f>
        <v>10</v>
      </c>
      <c r="J73" s="2"/>
      <c r="L73" s="4">
        <f>SUM(L10:L72)</f>
        <v>112</v>
      </c>
      <c r="M73" s="4">
        <f>SUM(M10:M72)</f>
        <v>112</v>
      </c>
      <c r="N73" s="4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3" sqref="P3"/>
    </sheetView>
  </sheetViews>
  <sheetFormatPr defaultColWidth="8.8515625" defaultRowHeight="12.75"/>
  <cols>
    <col min="1" max="1" width="27.28125" style="25" customWidth="1"/>
    <col min="2" max="2" width="1.8515625" style="25" customWidth="1"/>
    <col min="3" max="3" width="32.7109375" style="26" customWidth="1"/>
    <col min="4" max="4" width="14.00390625" style="26" customWidth="1"/>
    <col min="5" max="5" width="15.7109375" style="26" customWidth="1"/>
    <col min="6" max="6" width="16.00390625" style="26" customWidth="1"/>
    <col min="7" max="7" width="16.140625" style="26" customWidth="1"/>
    <col min="8" max="9" width="15.28125" style="26" customWidth="1"/>
    <col min="10" max="10" width="15.140625" style="26" customWidth="1"/>
    <col min="11" max="11" width="15.28125" style="26" customWidth="1"/>
    <col min="12" max="12" width="13.8515625" style="26" customWidth="1"/>
    <col min="13" max="13" width="15.00390625" style="26" customWidth="1"/>
    <col min="14" max="14" width="14.28125" style="26" customWidth="1"/>
    <col min="15" max="15" width="15.28125" style="26" customWidth="1"/>
    <col min="16" max="16" width="12.57421875" style="26" customWidth="1"/>
    <col min="17" max="16384" width="8.8515625" style="26" customWidth="1"/>
  </cols>
  <sheetData>
    <row r="1" spans="1:16" s="30" customFormat="1" ht="18.75">
      <c r="A1" s="29" t="s">
        <v>103</v>
      </c>
      <c r="B1" s="29"/>
      <c r="C1" s="30" t="s">
        <v>104</v>
      </c>
      <c r="D1" s="30">
        <v>2006</v>
      </c>
      <c r="E1" s="30">
        <v>2007</v>
      </c>
      <c r="F1" s="30">
        <v>2008</v>
      </c>
      <c r="G1" s="30">
        <v>2009</v>
      </c>
      <c r="H1" s="30">
        <v>2010</v>
      </c>
      <c r="I1" s="30">
        <v>2011</v>
      </c>
      <c r="J1" s="30">
        <v>2012</v>
      </c>
      <c r="K1" s="30">
        <v>2013</v>
      </c>
      <c r="L1" s="30" t="s">
        <v>105</v>
      </c>
      <c r="M1" s="30" t="s">
        <v>158</v>
      </c>
      <c r="N1" s="31" t="s">
        <v>172</v>
      </c>
      <c r="O1" s="30" t="s">
        <v>175</v>
      </c>
      <c r="P1" s="30" t="s">
        <v>228</v>
      </c>
    </row>
    <row r="3" spans="1:22" ht="63">
      <c r="A3" s="32" t="s">
        <v>146</v>
      </c>
      <c r="B3" s="36"/>
      <c r="C3" s="33" t="s">
        <v>107</v>
      </c>
      <c r="D3" s="38" t="s">
        <v>161</v>
      </c>
      <c r="E3" s="38" t="s">
        <v>116</v>
      </c>
      <c r="F3" s="42" t="s">
        <v>188</v>
      </c>
      <c r="G3" s="38" t="s">
        <v>181</v>
      </c>
      <c r="H3" s="38" t="s">
        <v>109</v>
      </c>
      <c r="I3" s="39" t="s">
        <v>164</v>
      </c>
      <c r="J3" s="39" t="s">
        <v>117</v>
      </c>
      <c r="K3" s="39" t="s">
        <v>133</v>
      </c>
      <c r="L3" s="39" t="s">
        <v>186</v>
      </c>
      <c r="M3" s="40" t="s">
        <v>164</v>
      </c>
      <c r="N3" s="41" t="s">
        <v>117</v>
      </c>
      <c r="O3" s="40" t="s">
        <v>116</v>
      </c>
      <c r="P3" s="41"/>
      <c r="Q3" s="41"/>
      <c r="R3" s="41"/>
      <c r="S3" s="41"/>
      <c r="T3" s="41"/>
      <c r="U3" s="41"/>
      <c r="V3" s="41"/>
    </row>
    <row r="4" spans="1:22" ht="18.75">
      <c r="A4" s="32" t="s">
        <v>148</v>
      </c>
      <c r="B4" s="36"/>
      <c r="C4" s="33" t="s">
        <v>224</v>
      </c>
      <c r="D4" s="38" t="s">
        <v>161</v>
      </c>
      <c r="E4" s="38" t="s">
        <v>161</v>
      </c>
      <c r="F4" s="38" t="s">
        <v>161</v>
      </c>
      <c r="G4" s="39" t="s">
        <v>116</v>
      </c>
      <c r="H4" s="38" t="s">
        <v>181</v>
      </c>
      <c r="I4" s="39" t="s">
        <v>181</v>
      </c>
      <c r="J4" s="39" t="s">
        <v>164</v>
      </c>
      <c r="K4" s="39" t="s">
        <v>201</v>
      </c>
      <c r="L4" s="39" t="s">
        <v>117</v>
      </c>
      <c r="M4" s="40" t="s">
        <v>111</v>
      </c>
      <c r="N4" s="40" t="s">
        <v>116</v>
      </c>
      <c r="O4" s="40" t="s">
        <v>111</v>
      </c>
      <c r="P4" s="41"/>
      <c r="Q4" s="41"/>
      <c r="R4" s="41"/>
      <c r="S4" s="41"/>
      <c r="T4" s="41"/>
      <c r="U4" s="41"/>
      <c r="V4" s="41"/>
    </row>
    <row r="5" spans="1:22" ht="18.75">
      <c r="A5" s="32" t="s">
        <v>125</v>
      </c>
      <c r="B5" s="36"/>
      <c r="C5" s="33" t="s">
        <v>115</v>
      </c>
      <c r="D5" s="38" t="s">
        <v>168</v>
      </c>
      <c r="E5" s="38" t="s">
        <v>109</v>
      </c>
      <c r="F5" s="38" t="s">
        <v>109</v>
      </c>
      <c r="G5" s="39" t="s">
        <v>116</v>
      </c>
      <c r="H5" s="38" t="s">
        <v>111</v>
      </c>
      <c r="I5" s="39" t="s">
        <v>203</v>
      </c>
      <c r="J5" s="39" t="s">
        <v>117</v>
      </c>
      <c r="K5" s="39" t="s">
        <v>164</v>
      </c>
      <c r="L5" s="39" t="s">
        <v>111</v>
      </c>
      <c r="M5" s="40" t="s">
        <v>185</v>
      </c>
      <c r="N5" s="40" t="s">
        <v>195</v>
      </c>
      <c r="O5" s="41" t="s">
        <v>195</v>
      </c>
      <c r="P5" s="41"/>
      <c r="Q5" s="41"/>
      <c r="R5" s="41"/>
      <c r="S5" s="41"/>
      <c r="T5" s="41"/>
      <c r="U5" s="41"/>
      <c r="V5" s="41"/>
    </row>
    <row r="6" spans="1:22" ht="18.75">
      <c r="A6" s="32" t="s">
        <v>144</v>
      </c>
      <c r="B6" s="36"/>
      <c r="C6" s="33" t="s">
        <v>119</v>
      </c>
      <c r="D6" s="38" t="s">
        <v>161</v>
      </c>
      <c r="E6" s="38" t="s">
        <v>161</v>
      </c>
      <c r="F6" s="38" t="s">
        <v>161</v>
      </c>
      <c r="G6" s="38" t="s">
        <v>161</v>
      </c>
      <c r="H6" s="38" t="s">
        <v>161</v>
      </c>
      <c r="I6" s="38" t="s">
        <v>161</v>
      </c>
      <c r="J6" s="38" t="s">
        <v>161</v>
      </c>
      <c r="K6" s="38" t="s">
        <v>186</v>
      </c>
      <c r="L6" s="39" t="s">
        <v>108</v>
      </c>
      <c r="M6" s="40" t="s">
        <v>109</v>
      </c>
      <c r="N6" s="40" t="s">
        <v>186</v>
      </c>
      <c r="O6" s="40" t="s">
        <v>117</v>
      </c>
      <c r="P6" s="41"/>
      <c r="Q6" s="41"/>
      <c r="R6" s="41"/>
      <c r="S6" s="41"/>
      <c r="T6" s="41"/>
      <c r="U6" s="41"/>
      <c r="V6" s="41"/>
    </row>
    <row r="7" spans="1:22" ht="18.75">
      <c r="A7" s="32" t="s">
        <v>145</v>
      </c>
      <c r="B7" s="36"/>
      <c r="C7" s="33" t="s">
        <v>157</v>
      </c>
      <c r="D7" s="38" t="s">
        <v>161</v>
      </c>
      <c r="E7" s="38" t="s">
        <v>161</v>
      </c>
      <c r="F7" s="38" t="s">
        <v>161</v>
      </c>
      <c r="G7" s="38" t="s">
        <v>161</v>
      </c>
      <c r="H7" s="38" t="s">
        <v>161</v>
      </c>
      <c r="I7" s="38" t="s">
        <v>161</v>
      </c>
      <c r="J7" s="38" t="s">
        <v>161</v>
      </c>
      <c r="K7" s="39" t="s">
        <v>161</v>
      </c>
      <c r="L7" s="39" t="s">
        <v>109</v>
      </c>
      <c r="M7" s="40" t="s">
        <v>117</v>
      </c>
      <c r="N7" s="40" t="s">
        <v>111</v>
      </c>
      <c r="O7" s="41" t="s">
        <v>116</v>
      </c>
      <c r="P7" s="41"/>
      <c r="Q7" s="41"/>
      <c r="R7" s="41"/>
      <c r="S7" s="41"/>
      <c r="T7" s="41"/>
      <c r="U7" s="41"/>
      <c r="V7" s="41"/>
    </row>
    <row r="8" spans="1:22" ht="18.75">
      <c r="A8" s="32" t="s">
        <v>147</v>
      </c>
      <c r="B8" s="36"/>
      <c r="C8" s="33" t="s">
        <v>225</v>
      </c>
      <c r="D8" s="38" t="s">
        <v>161</v>
      </c>
      <c r="E8" s="38" t="s">
        <v>161</v>
      </c>
      <c r="F8" s="38" t="s">
        <v>161</v>
      </c>
      <c r="G8" s="38" t="s">
        <v>161</v>
      </c>
      <c r="H8" s="38" t="s">
        <v>161</v>
      </c>
      <c r="I8" s="38" t="s">
        <v>161</v>
      </c>
      <c r="J8" s="38" t="s">
        <v>161</v>
      </c>
      <c r="K8" s="39" t="s">
        <v>181</v>
      </c>
      <c r="L8" s="39" t="s">
        <v>203</v>
      </c>
      <c r="M8" s="40" t="s">
        <v>181</v>
      </c>
      <c r="N8" s="40" t="s">
        <v>116</v>
      </c>
      <c r="O8" s="40" t="s">
        <v>181</v>
      </c>
      <c r="P8" s="41"/>
      <c r="Q8" s="41"/>
      <c r="R8" s="41"/>
      <c r="S8" s="41"/>
      <c r="T8" s="41"/>
      <c r="U8" s="41"/>
      <c r="V8" s="41"/>
    </row>
    <row r="9" spans="1:22" ht="18.75">
      <c r="A9" s="32" t="s">
        <v>150</v>
      </c>
      <c r="B9" s="36"/>
      <c r="C9" s="33" t="s">
        <v>122</v>
      </c>
      <c r="D9" s="38" t="s">
        <v>161</v>
      </c>
      <c r="E9" s="38" t="s">
        <v>161</v>
      </c>
      <c r="F9" s="38" t="s">
        <v>109</v>
      </c>
      <c r="G9" s="39" t="s">
        <v>179</v>
      </c>
      <c r="H9" s="38" t="s">
        <v>181</v>
      </c>
      <c r="I9" s="39" t="s">
        <v>164</v>
      </c>
      <c r="J9" s="39" t="s">
        <v>108</v>
      </c>
      <c r="K9" s="39" t="s">
        <v>195</v>
      </c>
      <c r="L9" s="39" t="s">
        <v>182</v>
      </c>
      <c r="M9" s="40" t="s">
        <v>116</v>
      </c>
      <c r="N9" s="40" t="s">
        <v>219</v>
      </c>
      <c r="O9" s="41" t="s">
        <v>111</v>
      </c>
      <c r="P9" s="41"/>
      <c r="Q9" s="41"/>
      <c r="R9" s="41"/>
      <c r="S9" s="41"/>
      <c r="T9" s="41"/>
      <c r="U9" s="41"/>
      <c r="V9" s="41"/>
    </row>
    <row r="10" spans="1:22" ht="63">
      <c r="A10" s="32" t="s">
        <v>114</v>
      </c>
      <c r="B10" s="36"/>
      <c r="C10" s="33" t="s">
        <v>124</v>
      </c>
      <c r="D10" s="38" t="s">
        <v>180</v>
      </c>
      <c r="E10" s="38" t="s">
        <v>109</v>
      </c>
      <c r="F10" s="39" t="s">
        <v>108</v>
      </c>
      <c r="G10" s="39" t="s">
        <v>111</v>
      </c>
      <c r="H10" s="38" t="s">
        <v>116</v>
      </c>
      <c r="I10" s="39" t="s">
        <v>111</v>
      </c>
      <c r="J10" s="45" t="s">
        <v>211</v>
      </c>
      <c r="K10" s="39" t="s">
        <v>195</v>
      </c>
      <c r="L10" s="39" t="s">
        <v>195</v>
      </c>
      <c r="M10" s="40" t="s">
        <v>117</v>
      </c>
      <c r="N10" s="40" t="s">
        <v>186</v>
      </c>
      <c r="O10" s="41" t="s">
        <v>117</v>
      </c>
      <c r="P10" s="41"/>
      <c r="Q10" s="41"/>
      <c r="R10" s="41"/>
      <c r="S10" s="41"/>
      <c r="T10" s="41"/>
      <c r="U10" s="41"/>
      <c r="V10" s="41"/>
    </row>
    <row r="11" spans="1:22" ht="78.75">
      <c r="A11" s="34" t="s">
        <v>118</v>
      </c>
      <c r="B11" s="37"/>
      <c r="C11" s="33" t="s">
        <v>138</v>
      </c>
      <c r="D11" s="38" t="s">
        <v>168</v>
      </c>
      <c r="E11" s="42" t="s">
        <v>184</v>
      </c>
      <c r="F11" s="38" t="s">
        <v>111</v>
      </c>
      <c r="G11" s="38" t="s">
        <v>185</v>
      </c>
      <c r="H11" s="38" t="s">
        <v>185</v>
      </c>
      <c r="I11" s="39" t="s">
        <v>109</v>
      </c>
      <c r="J11" s="39" t="s">
        <v>207</v>
      </c>
      <c r="K11" s="45" t="s">
        <v>210</v>
      </c>
      <c r="L11" s="45" t="s">
        <v>212</v>
      </c>
      <c r="M11" s="40" t="s">
        <v>183</v>
      </c>
      <c r="N11" s="40" t="s">
        <v>201</v>
      </c>
      <c r="O11" s="41" t="s">
        <v>168</v>
      </c>
      <c r="P11" s="41"/>
      <c r="Q11" s="41"/>
      <c r="R11" s="41"/>
      <c r="S11" s="41"/>
      <c r="T11" s="41"/>
      <c r="U11" s="41"/>
      <c r="V11" s="41"/>
    </row>
    <row r="12" spans="1:22" ht="18.75">
      <c r="A12" s="34" t="s">
        <v>151</v>
      </c>
      <c r="B12" s="37"/>
      <c r="C12" s="33" t="s">
        <v>126</v>
      </c>
      <c r="D12" s="38" t="s">
        <v>161</v>
      </c>
      <c r="E12" s="38" t="s">
        <v>161</v>
      </c>
      <c r="F12" s="38" t="s">
        <v>161</v>
      </c>
      <c r="G12" s="38" t="s">
        <v>161</v>
      </c>
      <c r="H12" s="38" t="s">
        <v>161</v>
      </c>
      <c r="I12" s="38" t="s">
        <v>161</v>
      </c>
      <c r="J12" s="39" t="s">
        <v>117</v>
      </c>
      <c r="K12" s="39" t="s">
        <v>180</v>
      </c>
      <c r="L12" s="39" t="s">
        <v>116</v>
      </c>
      <c r="M12" s="40" t="s">
        <v>216</v>
      </c>
      <c r="N12" s="40" t="s">
        <v>109</v>
      </c>
      <c r="O12" s="41" t="s">
        <v>196</v>
      </c>
      <c r="P12" s="41"/>
      <c r="Q12" s="41"/>
      <c r="R12" s="41"/>
      <c r="S12" s="41"/>
      <c r="T12" s="41"/>
      <c r="U12" s="41"/>
      <c r="V12" s="41"/>
    </row>
    <row r="13" spans="1:22" ht="63">
      <c r="A13" s="32" t="s">
        <v>123</v>
      </c>
      <c r="B13" s="36"/>
      <c r="C13" s="33" t="s">
        <v>227</v>
      </c>
      <c r="D13" s="38" t="s">
        <v>182</v>
      </c>
      <c r="E13" s="38" t="s">
        <v>164</v>
      </c>
      <c r="F13" s="43" t="s">
        <v>189</v>
      </c>
      <c r="G13" s="39" t="s">
        <v>116</v>
      </c>
      <c r="H13" s="38" t="s">
        <v>176</v>
      </c>
      <c r="I13" s="39" t="s">
        <v>164</v>
      </c>
      <c r="J13" s="39" t="s">
        <v>208</v>
      </c>
      <c r="K13" s="39" t="s">
        <v>109</v>
      </c>
      <c r="L13" s="39" t="s">
        <v>111</v>
      </c>
      <c r="M13" s="40" t="s">
        <v>181</v>
      </c>
      <c r="N13" s="41" t="s">
        <v>182</v>
      </c>
      <c r="O13" s="41" t="s">
        <v>186</v>
      </c>
      <c r="P13" s="41"/>
      <c r="Q13" s="41"/>
      <c r="R13" s="41"/>
      <c r="S13" s="41"/>
      <c r="T13" s="41"/>
      <c r="U13" s="41"/>
      <c r="V13" s="41"/>
    </row>
    <row r="14" spans="1:22" ht="63">
      <c r="A14" s="34" t="s">
        <v>110</v>
      </c>
      <c r="B14" s="37"/>
      <c r="C14" s="33" t="s">
        <v>139</v>
      </c>
      <c r="D14" s="38" t="s">
        <v>161</v>
      </c>
      <c r="E14" s="38" t="s">
        <v>111</v>
      </c>
      <c r="F14" s="38" t="s">
        <v>168</v>
      </c>
      <c r="G14" s="39" t="s">
        <v>195</v>
      </c>
      <c r="H14" s="44" t="s">
        <v>199</v>
      </c>
      <c r="I14" s="39" t="s">
        <v>185</v>
      </c>
      <c r="J14" s="39" t="s">
        <v>116</v>
      </c>
      <c r="K14" s="39" t="s">
        <v>193</v>
      </c>
      <c r="L14" s="39" t="s">
        <v>193</v>
      </c>
      <c r="M14" s="40" t="s">
        <v>195</v>
      </c>
      <c r="N14" s="40" t="s">
        <v>156</v>
      </c>
      <c r="O14" s="41" t="s">
        <v>168</v>
      </c>
      <c r="P14" s="41"/>
      <c r="Q14" s="41"/>
      <c r="R14" s="41"/>
      <c r="S14" s="41"/>
      <c r="T14" s="41"/>
      <c r="U14" s="41"/>
      <c r="V14" s="41"/>
    </row>
    <row r="15" spans="1:22" ht="18.75">
      <c r="A15" s="34" t="s">
        <v>106</v>
      </c>
      <c r="B15" s="37"/>
      <c r="C15" s="33" t="s">
        <v>140</v>
      </c>
      <c r="D15" s="38" t="s">
        <v>161</v>
      </c>
      <c r="E15" s="38" t="s">
        <v>161</v>
      </c>
      <c r="F15" s="38" t="s">
        <v>117</v>
      </c>
      <c r="G15" s="39" t="s">
        <v>109</v>
      </c>
      <c r="H15" s="38" t="s">
        <v>177</v>
      </c>
      <c r="I15" s="39" t="s">
        <v>116</v>
      </c>
      <c r="J15" s="39" t="s">
        <v>111</v>
      </c>
      <c r="K15" s="39" t="s">
        <v>108</v>
      </c>
      <c r="L15" s="39" t="s">
        <v>109</v>
      </c>
      <c r="M15" s="40" t="s">
        <v>111</v>
      </c>
      <c r="N15" s="40" t="s">
        <v>117</v>
      </c>
      <c r="O15" s="40" t="s">
        <v>117</v>
      </c>
      <c r="P15" s="41"/>
      <c r="Q15" s="41"/>
      <c r="R15" s="41"/>
      <c r="S15" s="41"/>
      <c r="T15" s="41"/>
      <c r="U15" s="41"/>
      <c r="V15" s="41"/>
    </row>
    <row r="16" spans="1:22" ht="94.5">
      <c r="A16" s="32" t="s">
        <v>152</v>
      </c>
      <c r="B16" s="36"/>
      <c r="C16" s="33" t="s">
        <v>127</v>
      </c>
      <c r="D16" s="38" t="s">
        <v>133</v>
      </c>
      <c r="E16" s="38" t="s">
        <v>181</v>
      </c>
      <c r="F16" s="38" t="s">
        <v>116</v>
      </c>
      <c r="G16" s="39" t="s">
        <v>116</v>
      </c>
      <c r="H16" s="38" t="s">
        <v>111</v>
      </c>
      <c r="I16" s="39" t="s">
        <v>168</v>
      </c>
      <c r="J16" s="39" t="s">
        <v>108</v>
      </c>
      <c r="K16" s="39" t="s">
        <v>117</v>
      </c>
      <c r="L16" s="39" t="s">
        <v>116</v>
      </c>
      <c r="M16" s="40" t="s">
        <v>109</v>
      </c>
      <c r="N16" s="45" t="s">
        <v>220</v>
      </c>
      <c r="O16" s="45" t="s">
        <v>229</v>
      </c>
      <c r="P16" s="41"/>
      <c r="Q16" s="41"/>
      <c r="R16" s="41"/>
      <c r="S16" s="41"/>
      <c r="T16" s="41"/>
      <c r="U16" s="41"/>
      <c r="V16" s="41"/>
    </row>
    <row r="17" spans="1:22" ht="18.75">
      <c r="A17" s="34" t="s">
        <v>112</v>
      </c>
      <c r="B17" s="37"/>
      <c r="C17" s="33" t="s">
        <v>141</v>
      </c>
      <c r="D17" s="38" t="s">
        <v>161</v>
      </c>
      <c r="E17" s="38" t="s">
        <v>161</v>
      </c>
      <c r="F17" s="38" t="s">
        <v>161</v>
      </c>
      <c r="G17" s="38" t="s">
        <v>161</v>
      </c>
      <c r="H17" s="38" t="s">
        <v>117</v>
      </c>
      <c r="I17" s="39" t="s">
        <v>168</v>
      </c>
      <c r="J17" s="39" t="s">
        <v>108</v>
      </c>
      <c r="K17" s="39" t="s">
        <v>168</v>
      </c>
      <c r="L17" s="39" t="s">
        <v>180</v>
      </c>
      <c r="M17" s="40" t="s">
        <v>193</v>
      </c>
      <c r="N17" s="40" t="s">
        <v>186</v>
      </c>
      <c r="O17" s="40" t="s">
        <v>117</v>
      </c>
      <c r="P17" s="41"/>
      <c r="Q17" s="41"/>
      <c r="R17" s="41"/>
      <c r="S17" s="41"/>
      <c r="T17" s="41"/>
      <c r="U17" s="41"/>
      <c r="V17" s="41"/>
    </row>
    <row r="18" spans="1:22" ht="18.75">
      <c r="A18" s="32" t="s">
        <v>153</v>
      </c>
      <c r="B18" s="36"/>
      <c r="C18" s="33" t="s">
        <v>128</v>
      </c>
      <c r="D18" s="38" t="s">
        <v>161</v>
      </c>
      <c r="E18" s="38" t="s">
        <v>161</v>
      </c>
      <c r="F18" s="38" t="s">
        <v>161</v>
      </c>
      <c r="G18" s="38" t="s">
        <v>161</v>
      </c>
      <c r="H18" s="38" t="s">
        <v>161</v>
      </c>
      <c r="I18" s="38" t="s">
        <v>161</v>
      </c>
      <c r="J18" s="38" t="s">
        <v>161</v>
      </c>
      <c r="K18" s="38" t="s">
        <v>161</v>
      </c>
      <c r="L18" s="39" t="s">
        <v>111</v>
      </c>
      <c r="M18" s="40" t="s">
        <v>117</v>
      </c>
      <c r="N18" s="40" t="s">
        <v>168</v>
      </c>
      <c r="O18" s="40" t="s">
        <v>111</v>
      </c>
      <c r="P18" s="41"/>
      <c r="Q18" s="41"/>
      <c r="R18" s="41"/>
      <c r="S18" s="41"/>
      <c r="T18" s="41"/>
      <c r="U18" s="41"/>
      <c r="V18" s="41"/>
    </row>
    <row r="19" spans="1:22" ht="63">
      <c r="A19" s="34" t="s">
        <v>129</v>
      </c>
      <c r="B19" s="37"/>
      <c r="C19" s="33" t="s">
        <v>130</v>
      </c>
      <c r="D19" s="38" t="s">
        <v>181</v>
      </c>
      <c r="E19" s="38" t="s">
        <v>185</v>
      </c>
      <c r="F19" s="38" t="s">
        <v>117</v>
      </c>
      <c r="G19" s="38" t="s">
        <v>182</v>
      </c>
      <c r="H19" s="42" t="s">
        <v>200</v>
      </c>
      <c r="I19" s="39" t="s">
        <v>196</v>
      </c>
      <c r="J19" s="39" t="s">
        <v>197</v>
      </c>
      <c r="K19" s="44" t="s">
        <v>214</v>
      </c>
      <c r="L19" s="39" t="s">
        <v>156</v>
      </c>
      <c r="M19" s="40" t="s">
        <v>164</v>
      </c>
      <c r="N19" s="40" t="s">
        <v>195</v>
      </c>
      <c r="O19" s="40" t="s">
        <v>226</v>
      </c>
      <c r="P19" s="41"/>
      <c r="Q19" s="41"/>
      <c r="R19" s="41"/>
      <c r="S19" s="41"/>
      <c r="T19" s="41"/>
      <c r="U19" s="41"/>
      <c r="V19" s="41"/>
    </row>
    <row r="20" spans="1:22" ht="18.75">
      <c r="A20" s="34" t="s">
        <v>173</v>
      </c>
      <c r="B20" s="37"/>
      <c r="C20" s="33" t="s">
        <v>131</v>
      </c>
      <c r="D20" s="38" t="s">
        <v>161</v>
      </c>
      <c r="E20" s="38" t="s">
        <v>161</v>
      </c>
      <c r="F20" s="38" t="s">
        <v>161</v>
      </c>
      <c r="G20" s="38" t="s">
        <v>161</v>
      </c>
      <c r="H20" s="38" t="s">
        <v>161</v>
      </c>
      <c r="I20" s="38" t="s">
        <v>161</v>
      </c>
      <c r="J20" s="38" t="s">
        <v>161</v>
      </c>
      <c r="K20" s="38" t="s">
        <v>161</v>
      </c>
      <c r="L20" s="38" t="s">
        <v>161</v>
      </c>
      <c r="M20" s="38" t="s">
        <v>161</v>
      </c>
      <c r="N20" s="40" t="s">
        <v>174</v>
      </c>
      <c r="O20" s="40" t="s">
        <v>117</v>
      </c>
      <c r="P20" s="41"/>
      <c r="Q20" s="41"/>
      <c r="R20" s="41"/>
      <c r="S20" s="41"/>
      <c r="T20" s="41"/>
      <c r="U20" s="41"/>
      <c r="V20" s="41"/>
    </row>
    <row r="21" spans="1:22" ht="18.75">
      <c r="A21" s="34" t="s">
        <v>154</v>
      </c>
      <c r="B21" s="37"/>
      <c r="C21" s="35" t="s">
        <v>132</v>
      </c>
      <c r="D21" s="38" t="s">
        <v>161</v>
      </c>
      <c r="E21" s="38" t="s">
        <v>161</v>
      </c>
      <c r="F21" s="38" t="s">
        <v>161</v>
      </c>
      <c r="G21" s="38" t="s">
        <v>161</v>
      </c>
      <c r="H21" s="38" t="s">
        <v>161</v>
      </c>
      <c r="I21" s="38" t="s">
        <v>161</v>
      </c>
      <c r="J21" s="38" t="s">
        <v>161</v>
      </c>
      <c r="K21" s="38" t="s">
        <v>161</v>
      </c>
      <c r="L21" s="38" t="s">
        <v>161</v>
      </c>
      <c r="M21" s="40" t="s">
        <v>164</v>
      </c>
      <c r="N21" s="41" t="s">
        <v>164</v>
      </c>
      <c r="O21" s="40" t="s">
        <v>116</v>
      </c>
      <c r="P21" s="41"/>
      <c r="Q21" s="41"/>
      <c r="R21" s="41"/>
      <c r="S21" s="41"/>
      <c r="T21" s="41"/>
      <c r="U21" s="41"/>
      <c r="V21" s="41"/>
    </row>
    <row r="22" spans="1:22" ht="78.75">
      <c r="A22" s="34" t="s">
        <v>134</v>
      </c>
      <c r="B22" s="37"/>
      <c r="C22" s="33" t="s">
        <v>135</v>
      </c>
      <c r="D22" s="42" t="s">
        <v>190</v>
      </c>
      <c r="E22" s="43" t="s">
        <v>215</v>
      </c>
      <c r="F22" s="38" t="s">
        <v>191</v>
      </c>
      <c r="G22" s="38" t="s">
        <v>196</v>
      </c>
      <c r="H22" s="38" t="s">
        <v>187</v>
      </c>
      <c r="I22" s="39" t="s">
        <v>180</v>
      </c>
      <c r="J22" s="39" t="s">
        <v>197</v>
      </c>
      <c r="K22" s="39" t="s">
        <v>117</v>
      </c>
      <c r="L22" s="39" t="s">
        <v>181</v>
      </c>
      <c r="M22" s="45" t="s">
        <v>217</v>
      </c>
      <c r="N22" s="41" t="s">
        <v>203</v>
      </c>
      <c r="O22" s="41" t="s">
        <v>203</v>
      </c>
      <c r="P22" s="41"/>
      <c r="Q22" s="41"/>
      <c r="R22" s="41"/>
      <c r="S22" s="41"/>
      <c r="T22" s="41"/>
      <c r="U22" s="41"/>
      <c r="V22" s="41"/>
    </row>
    <row r="23" spans="1:22" ht="78.75">
      <c r="A23" s="34" t="s">
        <v>136</v>
      </c>
      <c r="B23" s="37"/>
      <c r="C23" s="33" t="s">
        <v>137</v>
      </c>
      <c r="D23" s="38" t="s">
        <v>183</v>
      </c>
      <c r="E23" s="38" t="s">
        <v>186</v>
      </c>
      <c r="F23" s="38" t="s">
        <v>192</v>
      </c>
      <c r="G23" s="42" t="s">
        <v>194</v>
      </c>
      <c r="H23" s="38" t="s">
        <v>195</v>
      </c>
      <c r="I23" s="39" t="s">
        <v>109</v>
      </c>
      <c r="J23" s="39" t="s">
        <v>195</v>
      </c>
      <c r="K23" s="39" t="s">
        <v>186</v>
      </c>
      <c r="L23" s="44" t="s">
        <v>213</v>
      </c>
      <c r="M23" s="44" t="s">
        <v>218</v>
      </c>
      <c r="N23" s="43" t="s">
        <v>221</v>
      </c>
      <c r="O23" s="43" t="s">
        <v>230</v>
      </c>
      <c r="P23" s="41"/>
      <c r="Q23" s="41"/>
      <c r="R23" s="41"/>
      <c r="S23" s="41"/>
      <c r="T23" s="41"/>
      <c r="U23" s="41"/>
      <c r="V23" s="41"/>
    </row>
    <row r="24" spans="1:22" ht="18.75">
      <c r="A24" s="34" t="s">
        <v>223</v>
      </c>
      <c r="B24" s="37"/>
      <c r="C24" s="33" t="s">
        <v>222</v>
      </c>
      <c r="D24" s="38"/>
      <c r="E24" s="38"/>
      <c r="F24" s="38"/>
      <c r="G24" s="42"/>
      <c r="H24" s="38"/>
      <c r="I24" s="39"/>
      <c r="J24" s="39"/>
      <c r="K24" s="39"/>
      <c r="L24" s="39"/>
      <c r="M24" s="39" t="s">
        <v>161</v>
      </c>
      <c r="N24" s="38" t="s">
        <v>161</v>
      </c>
      <c r="O24" s="41" t="s">
        <v>117</v>
      </c>
      <c r="P24" s="41"/>
      <c r="Q24" s="41"/>
      <c r="R24" s="41"/>
      <c r="S24" s="41"/>
      <c r="T24" s="41"/>
      <c r="U24" s="41"/>
      <c r="V24" s="41"/>
    </row>
    <row r="25" spans="1:29" ht="78.75">
      <c r="A25" s="34" t="s">
        <v>166</v>
      </c>
      <c r="B25" s="37"/>
      <c r="C25" s="35" t="s">
        <v>167</v>
      </c>
      <c r="D25" s="38" t="s">
        <v>161</v>
      </c>
      <c r="E25" s="38" t="s">
        <v>161</v>
      </c>
      <c r="F25" s="38" t="s">
        <v>161</v>
      </c>
      <c r="G25" s="40" t="s">
        <v>181</v>
      </c>
      <c r="H25" s="41"/>
      <c r="I25" s="45" t="s">
        <v>206</v>
      </c>
      <c r="J25" s="40" t="s">
        <v>203</v>
      </c>
      <c r="K25" s="41" t="s">
        <v>161</v>
      </c>
      <c r="L25" s="41" t="s">
        <v>161</v>
      </c>
      <c r="M25" s="41" t="s">
        <v>161</v>
      </c>
      <c r="N25" s="41" t="s">
        <v>161</v>
      </c>
      <c r="O25" s="41" t="s">
        <v>109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2" ht="18.75">
      <c r="A26" s="34" t="s">
        <v>155</v>
      </c>
      <c r="B26" s="37"/>
      <c r="C26" s="33" t="s">
        <v>142</v>
      </c>
      <c r="D26" s="38" t="s">
        <v>161</v>
      </c>
      <c r="E26" s="38" t="s">
        <v>161</v>
      </c>
      <c r="F26" s="38" t="s">
        <v>161</v>
      </c>
      <c r="G26" s="38" t="s">
        <v>161</v>
      </c>
      <c r="H26" s="38" t="s">
        <v>161</v>
      </c>
      <c r="I26" s="38" t="s">
        <v>161</v>
      </c>
      <c r="J26" s="38" t="s">
        <v>161</v>
      </c>
      <c r="K26" s="39" t="s">
        <v>133</v>
      </c>
      <c r="L26" s="39" t="s">
        <v>109</v>
      </c>
      <c r="M26" s="40" t="s">
        <v>180</v>
      </c>
      <c r="N26" s="41" t="s">
        <v>109</v>
      </c>
      <c r="O26" s="41" t="s">
        <v>181</v>
      </c>
      <c r="P26" s="41"/>
      <c r="Q26" s="41"/>
      <c r="R26" s="41"/>
      <c r="S26" s="41"/>
      <c r="T26" s="41"/>
      <c r="U26" s="41"/>
      <c r="V26" s="41"/>
    </row>
    <row r="27" spans="1:2" s="30" customFormat="1" ht="18.75">
      <c r="A27" s="29"/>
      <c r="B27" s="29"/>
    </row>
    <row r="28" spans="1:22" ht="18.75">
      <c r="A28" s="46" t="s">
        <v>143</v>
      </c>
      <c r="B28" s="46"/>
      <c r="C28" s="47" t="s">
        <v>113</v>
      </c>
      <c r="D28" s="38" t="s">
        <v>161</v>
      </c>
      <c r="E28" s="38" t="s">
        <v>161</v>
      </c>
      <c r="F28" s="38" t="s">
        <v>161</v>
      </c>
      <c r="G28" s="38" t="s">
        <v>161</v>
      </c>
      <c r="H28" s="38" t="s">
        <v>161</v>
      </c>
      <c r="I28" s="38" t="s">
        <v>161</v>
      </c>
      <c r="J28" s="38" t="s">
        <v>161</v>
      </c>
      <c r="K28" s="38" t="s">
        <v>161</v>
      </c>
      <c r="L28" s="38" t="s">
        <v>161</v>
      </c>
      <c r="M28" s="40" t="s">
        <v>116</v>
      </c>
      <c r="N28" s="40" t="s">
        <v>117</v>
      </c>
      <c r="O28" s="41" t="s">
        <v>161</v>
      </c>
      <c r="P28" s="41"/>
      <c r="Q28" s="41"/>
      <c r="R28" s="41"/>
      <c r="S28" s="41"/>
      <c r="T28" s="41"/>
      <c r="U28" s="41"/>
      <c r="V28" s="41"/>
    </row>
    <row r="29" spans="1:29" ht="63">
      <c r="A29" s="25" t="s">
        <v>159</v>
      </c>
      <c r="C29" s="27" t="s">
        <v>160</v>
      </c>
      <c r="D29" s="38" t="s">
        <v>161</v>
      </c>
      <c r="E29" s="38" t="s">
        <v>161</v>
      </c>
      <c r="F29" s="38" t="s">
        <v>161</v>
      </c>
      <c r="G29" s="38" t="s">
        <v>161</v>
      </c>
      <c r="H29" s="41" t="s">
        <v>201</v>
      </c>
      <c r="I29" s="44" t="s">
        <v>204</v>
      </c>
      <c r="J29" s="40" t="s">
        <v>116</v>
      </c>
      <c r="K29" s="40" t="s">
        <v>111</v>
      </c>
      <c r="L29" s="40" t="s">
        <v>116</v>
      </c>
      <c r="M29" s="41" t="s">
        <v>161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29" ht="18.75">
      <c r="A30" s="28" t="s">
        <v>121</v>
      </c>
      <c r="B30" s="28"/>
      <c r="C30" s="26" t="s">
        <v>131</v>
      </c>
      <c r="D30" s="38" t="s">
        <v>176</v>
      </c>
      <c r="E30" s="38" t="s">
        <v>117</v>
      </c>
      <c r="F30" s="38" t="s">
        <v>193</v>
      </c>
      <c r="G30" s="38" t="s">
        <v>197</v>
      </c>
      <c r="H30" s="38" t="s">
        <v>202</v>
      </c>
      <c r="I30" s="39" t="s">
        <v>183</v>
      </c>
      <c r="J30" s="39" t="s">
        <v>117</v>
      </c>
      <c r="K30" s="39" t="s">
        <v>186</v>
      </c>
      <c r="L30" s="39" t="s">
        <v>197</v>
      </c>
      <c r="M30" s="40" t="s">
        <v>181</v>
      </c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1:29" ht="18.75">
      <c r="A31" s="28" t="s">
        <v>162</v>
      </c>
      <c r="B31" s="28"/>
      <c r="C31" s="27" t="s">
        <v>163</v>
      </c>
      <c r="D31" s="41" t="s">
        <v>164</v>
      </c>
      <c r="E31" s="41" t="s">
        <v>187</v>
      </c>
      <c r="F31" s="41" t="s">
        <v>109</v>
      </c>
      <c r="G31" s="41" t="s">
        <v>164</v>
      </c>
      <c r="H31" s="41" t="s">
        <v>108</v>
      </c>
      <c r="I31" s="40" t="s">
        <v>117</v>
      </c>
      <c r="J31" s="40" t="s">
        <v>111</v>
      </c>
      <c r="K31" s="40" t="s">
        <v>109</v>
      </c>
      <c r="L31" s="40" t="s">
        <v>117</v>
      </c>
      <c r="M31" s="41" t="s">
        <v>161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ht="78.75">
      <c r="A32" s="25" t="s">
        <v>165</v>
      </c>
      <c r="C32" s="27" t="s">
        <v>120</v>
      </c>
      <c r="D32" s="40" t="s">
        <v>164</v>
      </c>
      <c r="E32" s="41" t="s">
        <v>111</v>
      </c>
      <c r="F32" s="40" t="s">
        <v>116</v>
      </c>
      <c r="G32" s="40" t="s">
        <v>133</v>
      </c>
      <c r="H32" s="41" t="s">
        <v>195</v>
      </c>
      <c r="I32" s="40" t="s">
        <v>205</v>
      </c>
      <c r="J32" s="44" t="s">
        <v>209</v>
      </c>
      <c r="K32" s="40" t="s">
        <v>161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ht="47.25">
      <c r="A33" s="25" t="s">
        <v>171</v>
      </c>
      <c r="C33" s="27" t="s">
        <v>128</v>
      </c>
      <c r="D33" s="41" t="s">
        <v>108</v>
      </c>
      <c r="E33" s="41" t="s">
        <v>181</v>
      </c>
      <c r="F33" s="41" t="s">
        <v>182</v>
      </c>
      <c r="G33" s="43" t="s">
        <v>198</v>
      </c>
      <c r="H33" s="40" t="s">
        <v>116</v>
      </c>
      <c r="I33" s="40" t="s">
        <v>195</v>
      </c>
      <c r="J33" s="40" t="s">
        <v>109</v>
      </c>
      <c r="K33" s="41" t="s">
        <v>161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8.75">
      <c r="A34" s="25" t="s">
        <v>169</v>
      </c>
      <c r="C34" s="27" t="s">
        <v>170</v>
      </c>
      <c r="D34" s="41" t="s">
        <v>117</v>
      </c>
      <c r="E34" s="41" t="s">
        <v>117</v>
      </c>
      <c r="F34" s="41" t="s">
        <v>116</v>
      </c>
      <c r="G34" s="40" t="s">
        <v>182</v>
      </c>
      <c r="H34" s="41" t="s">
        <v>181</v>
      </c>
      <c r="I34" s="41"/>
      <c r="J34" s="41"/>
      <c r="K34" s="41"/>
      <c r="L34" s="41" t="s">
        <v>161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2" ht="18.75">
      <c r="A35" s="48" t="s">
        <v>149</v>
      </c>
      <c r="B35" s="48"/>
      <c r="C35" s="49" t="s">
        <v>178</v>
      </c>
      <c r="D35" s="38" t="s">
        <v>161</v>
      </c>
      <c r="E35" s="38" t="s">
        <v>111</v>
      </c>
      <c r="F35" s="38" t="s">
        <v>186</v>
      </c>
      <c r="G35" s="39" t="s">
        <v>111</v>
      </c>
      <c r="H35" s="38" t="s">
        <v>111</v>
      </c>
      <c r="I35" s="39" t="s">
        <v>117</v>
      </c>
      <c r="J35" s="39" t="s">
        <v>116</v>
      </c>
      <c r="K35" s="39" t="s">
        <v>111</v>
      </c>
      <c r="L35" s="39" t="s">
        <v>109</v>
      </c>
      <c r="M35" s="40" t="s">
        <v>108</v>
      </c>
      <c r="N35" s="40" t="s">
        <v>116</v>
      </c>
      <c r="O35" s="41" t="s">
        <v>161</v>
      </c>
      <c r="P35" s="41"/>
      <c r="Q35" s="41"/>
      <c r="R35" s="41"/>
      <c r="S35" s="41"/>
      <c r="T35" s="41"/>
      <c r="U35" s="41"/>
      <c r="V35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2005-03-29T04:30:29Z</dcterms:created>
  <dcterms:modified xsi:type="dcterms:W3CDTF">2020-05-10T20:12:03Z</dcterms:modified>
  <cp:category/>
  <cp:version/>
  <cp:contentType/>
  <cp:contentStatus/>
</cp:coreProperties>
</file>