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Lifetime Record" sheetId="1" r:id="rId1"/>
  </sheets>
  <definedNames/>
  <calcPr fullCalcOnLoad="1"/>
</workbook>
</file>

<file path=xl/sharedStrings.xml><?xml version="1.0" encoding="utf-8"?>
<sst xmlns="http://schemas.openxmlformats.org/spreadsheetml/2006/main" count="200" uniqueCount="148">
  <si>
    <t>Buffalo Bills</t>
  </si>
  <si>
    <t>Bob</t>
  </si>
  <si>
    <t>Kendall</t>
  </si>
  <si>
    <t>Nathan</t>
  </si>
  <si>
    <t>2006 2007 2008</t>
  </si>
  <si>
    <t>Team</t>
  </si>
  <si>
    <t>Yr</t>
  </si>
  <si>
    <t>Wins</t>
  </si>
  <si>
    <t>Losses</t>
  </si>
  <si>
    <t>Ties</t>
  </si>
  <si>
    <t>Win%</t>
  </si>
  <si>
    <t>Baltimore Ravens</t>
  </si>
  <si>
    <t>Detroit Lions</t>
  </si>
  <si>
    <t>San Francisco Forty Niners</t>
  </si>
  <si>
    <t>Houston Texans</t>
  </si>
  <si>
    <t>New York Giants</t>
  </si>
  <si>
    <t>Dallas Cowboys</t>
  </si>
  <si>
    <t>Minnesota Vikings</t>
  </si>
  <si>
    <t>Green Bay Packers</t>
  </si>
  <si>
    <t>New England Patriots</t>
  </si>
  <si>
    <t>Philadelphia Eagles</t>
  </si>
  <si>
    <t>Seattle Seahawks</t>
  </si>
  <si>
    <t>Oakland Raiders</t>
  </si>
  <si>
    <t>New York Jets</t>
  </si>
  <si>
    <t>Arizona Cardinals</t>
  </si>
  <si>
    <t>Tennessee Titans</t>
  </si>
  <si>
    <t>Chicago Bears</t>
  </si>
  <si>
    <t>Jacksonville Jaguars</t>
  </si>
  <si>
    <t>Coach</t>
  </si>
  <si>
    <t>Ed</t>
  </si>
  <si>
    <t>Bernie</t>
  </si>
  <si>
    <t>Paul</t>
  </si>
  <si>
    <t>JT</t>
  </si>
  <si>
    <t>Brad</t>
  </si>
  <si>
    <t>Ron</t>
  </si>
  <si>
    <t>John</t>
  </si>
  <si>
    <t>Playoffs</t>
  </si>
  <si>
    <t>Regular Season + mini-playoff</t>
  </si>
  <si>
    <t>Dennis</t>
  </si>
  <si>
    <t>Neil</t>
  </si>
  <si>
    <t>Years</t>
  </si>
  <si>
    <t>Champ</t>
  </si>
  <si>
    <t>Joe P.</t>
  </si>
  <si>
    <t>Nelson</t>
  </si>
  <si>
    <t>Mike K.</t>
  </si>
  <si>
    <t>Tim F.</t>
  </si>
  <si>
    <t>Mike P.</t>
  </si>
  <si>
    <t>Scott</t>
  </si>
  <si>
    <t>Jay</t>
  </si>
  <si>
    <t>Lawrence</t>
  </si>
  <si>
    <t>Jeff B.</t>
  </si>
  <si>
    <t>Tony</t>
  </si>
  <si>
    <t>Denver Broncos</t>
  </si>
  <si>
    <t>Nick</t>
  </si>
  <si>
    <t>David</t>
  </si>
  <si>
    <t>Tim W.</t>
  </si>
  <si>
    <t>Indianapolis Colts</t>
  </si>
  <si>
    <t>Curt</t>
  </si>
  <si>
    <t>Carlos</t>
  </si>
  <si>
    <t>Miami Dolphins</t>
  </si>
  <si>
    <t>Gary</t>
  </si>
  <si>
    <t>Cincinnati Bengals</t>
  </si>
  <si>
    <t>Roger</t>
  </si>
  <si>
    <t>Cleveland Browns</t>
  </si>
  <si>
    <t>Topher</t>
  </si>
  <si>
    <t>SSFA LIFETIME RECORDS</t>
  </si>
  <si>
    <t>George</t>
  </si>
  <si>
    <t>Dave H.</t>
  </si>
  <si>
    <t>Kenny</t>
  </si>
  <si>
    <t>Aaron</t>
  </si>
  <si>
    <t>Don</t>
  </si>
  <si>
    <t>2006 2007</t>
  </si>
  <si>
    <t>Dan S.</t>
  </si>
  <si>
    <t>Denver / Arizona Cardinals</t>
  </si>
  <si>
    <t>Carolina Panthers</t>
  </si>
  <si>
    <t>Randy</t>
  </si>
  <si>
    <t>2007 2008</t>
  </si>
  <si>
    <t>Ben</t>
  </si>
  <si>
    <t>Fred</t>
  </si>
  <si>
    <t>Rene</t>
  </si>
  <si>
    <t>Pittsburgh Steelers / BAL</t>
  </si>
  <si>
    <t>Chris L.</t>
  </si>
  <si>
    <t>New Orleans Saints</t>
  </si>
  <si>
    <t>2006 2007 2008 2009 2010</t>
  </si>
  <si>
    <t>2006 2010</t>
  </si>
  <si>
    <t>Pittsburgh / Baltimore Ravens</t>
  </si>
  <si>
    <t>2006 2007 2008 2009 2010 2011</t>
  </si>
  <si>
    <t>2006 2007 2008 2009 2010 2011 2012</t>
  </si>
  <si>
    <t>Dan M.</t>
  </si>
  <si>
    <t>Kansas City Chiefs</t>
  </si>
  <si>
    <t>2008 2009 2010 2011 2012</t>
  </si>
  <si>
    <t>Buffalo / Dallas Cowboys</t>
  </si>
  <si>
    <t>Stanley</t>
  </si>
  <si>
    <t>Butch</t>
  </si>
  <si>
    <t>Cincinnati / Detroit Lions</t>
  </si>
  <si>
    <t>Mick</t>
  </si>
  <si>
    <t>Keith</t>
  </si>
  <si>
    <t>2006 2007 2008 2009 2010 2011 2012 2013</t>
  </si>
  <si>
    <t>Michael</t>
  </si>
  <si>
    <t>2006 2007 2008 2009 2010 2011 2012 2013 2014</t>
  </si>
  <si>
    <t>2010 2011 2012 2013 2014</t>
  </si>
  <si>
    <t>Buffalo / Cleveland Browns</t>
  </si>
  <si>
    <t>Jason</t>
  </si>
  <si>
    <t>Dan T.</t>
  </si>
  <si>
    <t>Pittsburgh Steelers</t>
  </si>
  <si>
    <t>2006 2007 2008 2009 2010 2011 2012 2013 2014 2015 2016</t>
  </si>
  <si>
    <t>Dave S.</t>
  </si>
  <si>
    <t>2007 2008 2009 2010 2011 2012 2013 2014 2015 2016</t>
  </si>
  <si>
    <t>St. Louis / Los Angeles Rams</t>
  </si>
  <si>
    <t>2015 2016</t>
  </si>
  <si>
    <t>3-0</t>
  </si>
  <si>
    <t>1-1</t>
  </si>
  <si>
    <t>0-1</t>
  </si>
  <si>
    <t>1-0</t>
  </si>
  <si>
    <t>2006 2007 2008 2009 2010 2011 2012 2013 2014 2015 2016 2017</t>
  </si>
  <si>
    <t>Atlanta / Detroit Lions</t>
  </si>
  <si>
    <t>San Diego / Los Angeles Chargers</t>
  </si>
  <si>
    <t>2008 2009 2010 2011 2012 2013 2014 2015 2016 2017</t>
  </si>
  <si>
    <t>Tom V.</t>
  </si>
  <si>
    <t>Tom C.</t>
  </si>
  <si>
    <t>2-0</t>
  </si>
  <si>
    <t>Dale</t>
  </si>
  <si>
    <t>Tampa Bay Buccaneers</t>
  </si>
  <si>
    <t>Oakland / Las Vegas Raiders</t>
  </si>
  <si>
    <t>2016 2017 2018</t>
  </si>
  <si>
    <t>2012 2013 2014 2015 2016 2017 2018 2019</t>
  </si>
  <si>
    <t>Joe G.</t>
  </si>
  <si>
    <t>Jeff W.</t>
  </si>
  <si>
    <t>Washington Football Team</t>
  </si>
  <si>
    <t>2-2</t>
  </si>
  <si>
    <t>3-4</t>
  </si>
  <si>
    <t>Joe H.</t>
  </si>
  <si>
    <t>1-2</t>
  </si>
  <si>
    <t>through the 2021 season</t>
  </si>
  <si>
    <t>updated 7/26/2022</t>
  </si>
  <si>
    <t>2006 2007 2008 2009 2010 2011 2012 2013 2014 2015 2016 2017 2018 2019 2020 2021</t>
  </si>
  <si>
    <t>2020 2021</t>
  </si>
  <si>
    <t>2009 2011 2012 2017 2018 2019 2020 2021</t>
  </si>
  <si>
    <t>2017 2018 2019 2020 2021</t>
  </si>
  <si>
    <t>2007 2008 2009 2010 2011 2012 2013 2014 2015 2016 2017 2018 2019 2020 2021</t>
  </si>
  <si>
    <t>2010 2011 2012 2013 2014 2015 2016 2017 2018 2019 2020 2021</t>
  </si>
  <si>
    <t>2013 2014 2015 2016 2017 2018 2019 2020 2021</t>
  </si>
  <si>
    <t>2019 2020 2021</t>
  </si>
  <si>
    <t>2014 2015 2016 2017 2018 2019 2020 2021</t>
  </si>
  <si>
    <t>2009 2010 2011 2012 2013 2014 2015 2016 2017 2018 2019 2020 2021</t>
  </si>
  <si>
    <t>2015 2016 2017 2018 2019 2020 2021</t>
  </si>
  <si>
    <t>2008 2009 2010 2011 2012 2013 2014 2015 2016 2017 2018 2019 2020 2021</t>
  </si>
  <si>
    <t>2018 2019 2020 2021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</si>
</sst>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0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6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0.8515625" style="0" customWidth="1"/>
    <col min="2" max="2" width="26.421875" style="0" bestFit="1" customWidth="1"/>
    <col min="3" max="3" width="3.28125" style="4" customWidth="1"/>
    <col min="4" max="4" width="75.8515625" style="4" bestFit="1" customWidth="1"/>
    <col min="5" max="6" width="6.8515625" style="0" customWidth="1"/>
    <col min="7" max="7" width="5.00390625" style="0" customWidth="1"/>
    <col min="8" max="8" width="6.00390625" style="0" bestFit="1" customWidth="1"/>
    <col min="9" max="9" width="3.7109375" style="0" customWidth="1"/>
    <col min="10" max="10" width="7.421875" style="12" bestFit="1" customWidth="1"/>
    <col min="11" max="11" width="3.28125" style="4" customWidth="1"/>
    <col min="12" max="13" width="6.8515625" style="0" customWidth="1"/>
    <col min="14" max="14" width="5.00390625" style="0" customWidth="1"/>
    <col min="15" max="15" width="6.00390625" style="0" bestFit="1" customWidth="1"/>
    <col min="16" max="16" width="4.8515625" style="0" customWidth="1"/>
    <col min="17" max="17" width="6.00390625" style="0" bestFit="1" customWidth="1"/>
  </cols>
  <sheetData>
    <row r="2" spans="5:11" ht="20.25">
      <c r="E2" s="11" t="s">
        <v>65</v>
      </c>
      <c r="K2" s="11"/>
    </row>
    <row r="3" spans="1:16" ht="12.75">
      <c r="A3" s="1"/>
      <c r="C3" s="2"/>
      <c r="D3" s="3"/>
      <c r="E3" s="14" t="s">
        <v>133</v>
      </c>
      <c r="H3" s="4"/>
      <c r="I3" s="4"/>
      <c r="J3" s="4"/>
      <c r="L3" s="4"/>
      <c r="M3" s="4"/>
      <c r="N3" s="4"/>
      <c r="O3" s="4"/>
      <c r="P3" s="4"/>
    </row>
    <row r="4" spans="3:11" s="15" customFormat="1" ht="12.75" customHeight="1">
      <c r="C4" s="16"/>
      <c r="D4" s="16"/>
      <c r="E4" s="17" t="s">
        <v>134</v>
      </c>
      <c r="G4" s="18"/>
      <c r="J4" s="19"/>
      <c r="K4" s="18"/>
    </row>
    <row r="5" spans="5:12" ht="12.75">
      <c r="E5" s="4"/>
      <c r="L5" s="4"/>
    </row>
    <row r="6" spans="4:12" ht="12.75">
      <c r="D6" s="7"/>
      <c r="E6" s="8" t="s">
        <v>37</v>
      </c>
      <c r="L6" s="8" t="s">
        <v>36</v>
      </c>
    </row>
    <row r="7" spans="3:12" ht="12.75">
      <c r="C7" s="7"/>
      <c r="D7" s="7"/>
      <c r="L7" s="7"/>
    </row>
    <row r="8" spans="1:15" ht="12.75">
      <c r="A8" s="9" t="s">
        <v>28</v>
      </c>
      <c r="B8" s="9" t="s">
        <v>5</v>
      </c>
      <c r="C8" s="10" t="s">
        <v>6</v>
      </c>
      <c r="D8" s="10" t="s">
        <v>40</v>
      </c>
      <c r="E8" s="10" t="s">
        <v>7</v>
      </c>
      <c r="F8" s="10" t="s">
        <v>8</v>
      </c>
      <c r="G8" s="10" t="s">
        <v>9</v>
      </c>
      <c r="H8" s="10" t="s">
        <v>10</v>
      </c>
      <c r="I8" s="10"/>
      <c r="J8" s="13" t="s">
        <v>41</v>
      </c>
      <c r="K8" s="10" t="s">
        <v>6</v>
      </c>
      <c r="L8" s="10" t="s">
        <v>7</v>
      </c>
      <c r="M8" s="10" t="s">
        <v>8</v>
      </c>
      <c r="N8" s="10" t="s">
        <v>9</v>
      </c>
      <c r="O8" s="10" t="s">
        <v>10</v>
      </c>
    </row>
    <row r="10" spans="1:15" ht="12.75">
      <c r="A10" t="s">
        <v>29</v>
      </c>
      <c r="B10" t="s">
        <v>13</v>
      </c>
      <c r="C10" s="4">
        <v>16</v>
      </c>
      <c r="D10" s="20" t="s">
        <v>135</v>
      </c>
      <c r="E10" s="4">
        <f>14+13+15+11+9+10+13+8+9+10+13+13+10+12+10+12</f>
        <v>182</v>
      </c>
      <c r="F10" s="4">
        <f>2+3+1+5+7+6+3+8+7+5+3+3+7+4+6+5</f>
        <v>75</v>
      </c>
      <c r="G10" s="4">
        <f>1</f>
        <v>1</v>
      </c>
      <c r="H10" s="6">
        <f>IF(E10+F10=0,"",E10/(F10+E10)*100)</f>
        <v>70.8171206225681</v>
      </c>
      <c r="I10" s="6"/>
      <c r="J10" s="27" t="s">
        <v>129</v>
      </c>
      <c r="K10" s="4">
        <v>15</v>
      </c>
      <c r="L10" s="22">
        <f>3+2+1+1+2+1+0+0+3+1+1+0+2+0+1</f>
        <v>18</v>
      </c>
      <c r="M10" s="4">
        <f>0+1+1+1+1+1+1+1+0+1+1+1+1+1+1</f>
        <v>13</v>
      </c>
      <c r="N10" s="4"/>
      <c r="O10" s="6">
        <f>IF(L10+M10=0,"",L10/(M10+L10)*100)</f>
        <v>58.06451612903226</v>
      </c>
    </row>
    <row r="11" spans="1:15" ht="12.75">
      <c r="A11" t="s">
        <v>38</v>
      </c>
      <c r="B11" t="s">
        <v>21</v>
      </c>
      <c r="C11" s="4">
        <v>16</v>
      </c>
      <c r="D11" s="20" t="s">
        <v>135</v>
      </c>
      <c r="E11" s="4">
        <f>14+11+9+13+10+6+10+11+13+10+10+9+16+13+11+14</f>
        <v>180</v>
      </c>
      <c r="F11" s="4">
        <f>2+5+6+3+6+10+6+5+3+6+6+7+0+3+5+3</f>
        <v>76</v>
      </c>
      <c r="G11" s="4">
        <f>1</f>
        <v>1</v>
      </c>
      <c r="H11" s="6">
        <f>IF(E11+F11=0,"",E11/(F11+E11)*100)</f>
        <v>70.3125</v>
      </c>
      <c r="I11" s="6"/>
      <c r="J11" s="27" t="s">
        <v>130</v>
      </c>
      <c r="K11" s="4">
        <v>15</v>
      </c>
      <c r="L11" s="4">
        <f>1+0+0+3+0+1+0+2+3+3+3+3+3+2+1</f>
        <v>25</v>
      </c>
      <c r="M11" s="14">
        <f>1+1+1+0+1+1+1+1+1+1+1+0+0+1+1</f>
        <v>12</v>
      </c>
      <c r="N11" s="4"/>
      <c r="O11" s="6">
        <f>IF(L11+M11=0,"",L11/(M11+L11)*100)</f>
        <v>67.56756756756756</v>
      </c>
    </row>
    <row r="12" spans="1:15" ht="12.75">
      <c r="A12" t="s">
        <v>119</v>
      </c>
      <c r="B12" t="s">
        <v>23</v>
      </c>
      <c r="C12" s="4">
        <v>16</v>
      </c>
      <c r="D12" s="20" t="s">
        <v>135</v>
      </c>
      <c r="E12" s="4">
        <f>10+12+8+10+11+11+13+11+0+4+10+16+11+12+11+14</f>
        <v>164</v>
      </c>
      <c r="F12" s="4">
        <f>8+4+8+7+4+5+3+5+16+12+6+0+5+4+5+3</f>
        <v>95</v>
      </c>
      <c r="G12" s="4">
        <f>1</f>
        <v>1</v>
      </c>
      <c r="H12" s="6">
        <f>IF(E12+F12=0,"",E12/(F12+E12)*100)</f>
        <v>63.32046332046332</v>
      </c>
      <c r="I12" s="6"/>
      <c r="J12" s="27" t="s">
        <v>132</v>
      </c>
      <c r="K12" s="4">
        <v>13</v>
      </c>
      <c r="L12" s="4">
        <f>0+0+1+3+1+0+2+0+0+0+0+3+0</f>
        <v>10</v>
      </c>
      <c r="M12" s="4">
        <f>1+1+1+0+1+1+1+1+1+1+1+1+1</f>
        <v>12</v>
      </c>
      <c r="N12" s="4"/>
      <c r="O12" s="6">
        <f>IF(L12+M12=0,"",L12/(M12+L12)*100)</f>
        <v>45.45454545454545</v>
      </c>
    </row>
    <row r="13" spans="1:15" ht="12.75">
      <c r="A13" t="s">
        <v>118</v>
      </c>
      <c r="B13" t="s">
        <v>18</v>
      </c>
      <c r="C13" s="4">
        <v>5</v>
      </c>
      <c r="D13" s="20" t="s">
        <v>138</v>
      </c>
      <c r="E13" s="4">
        <f>3+7+11+11+13</f>
        <v>45</v>
      </c>
      <c r="F13" s="4">
        <f>5+9+5+5+4</f>
        <v>28</v>
      </c>
      <c r="G13" s="4"/>
      <c r="H13" s="6">
        <f>IF(E13+F13=0,"",E13/(F13+E13)*100)</f>
        <v>61.64383561643836</v>
      </c>
      <c r="J13" s="27" t="s">
        <v>113</v>
      </c>
      <c r="K13" s="4">
        <v>3</v>
      </c>
      <c r="L13" s="4">
        <f>1+0+3</f>
        <v>4</v>
      </c>
      <c r="M13" s="4">
        <f>1+1+0</f>
        <v>2</v>
      </c>
      <c r="O13" s="6">
        <f>IF(L13+M13=0,"",L13/(M13+L13)*100)</f>
        <v>66.66666666666666</v>
      </c>
    </row>
    <row r="14" spans="1:15" ht="12.75">
      <c r="A14" t="s">
        <v>35</v>
      </c>
      <c r="B14" t="s">
        <v>25</v>
      </c>
      <c r="C14" s="4">
        <v>8</v>
      </c>
      <c r="D14" s="5" t="s">
        <v>137</v>
      </c>
      <c r="E14" s="4">
        <f>10+13+13+6+6+9+12+10</f>
        <v>79</v>
      </c>
      <c r="F14" s="4">
        <f>7+3+3+10+10+8+4+7</f>
        <v>52</v>
      </c>
      <c r="G14" s="4"/>
      <c r="H14" s="6">
        <f>IF(E14+F14=0,"",E14/(F14+E14)*100)</f>
        <v>60.30534351145038</v>
      </c>
      <c r="I14" s="6"/>
      <c r="J14" s="27" t="s">
        <v>113</v>
      </c>
      <c r="K14" s="4">
        <v>5</v>
      </c>
      <c r="L14" s="4">
        <f>2+3+1+1+0</f>
        <v>7</v>
      </c>
      <c r="M14" s="4">
        <f>1+0+1+1+1</f>
        <v>4</v>
      </c>
      <c r="N14" s="4"/>
      <c r="O14" s="6">
        <f>IF(L14+M14=0,"",L14/(M14+L14)*100)</f>
        <v>63.63636363636363</v>
      </c>
    </row>
    <row r="15" spans="1:15" ht="12.75">
      <c r="A15" t="s">
        <v>48</v>
      </c>
      <c r="B15" t="s">
        <v>27</v>
      </c>
      <c r="C15" s="4">
        <v>16</v>
      </c>
      <c r="D15" s="20" t="s">
        <v>135</v>
      </c>
      <c r="E15" s="4">
        <f>2+10+5+12+12+6+15+10+13+14+10+2+6+11+8+10</f>
        <v>146</v>
      </c>
      <c r="F15" s="4">
        <f>14+6+11+4+4+10+1+6+3+2+6+14+10+5+8+8</f>
        <v>112</v>
      </c>
      <c r="G15" s="4"/>
      <c r="H15" s="6">
        <f>IF(E15+F15=0,"",E15/(F15+E15)*100)</f>
        <v>56.58914728682171</v>
      </c>
      <c r="I15" s="6"/>
      <c r="J15" s="27" t="s">
        <v>110</v>
      </c>
      <c r="K15" s="4">
        <v>10</v>
      </c>
      <c r="L15" s="4">
        <f>3+0+0+0+4+3+1+2+2+0</f>
        <v>15</v>
      </c>
      <c r="M15" s="4">
        <f>0+1+1+1+0+0+1+1+1+1</f>
        <v>7</v>
      </c>
      <c r="N15" s="4"/>
      <c r="O15" s="6">
        <f>IF(L15+M15=0,"",L15/(M15+L15)*100)</f>
        <v>68.18181818181817</v>
      </c>
    </row>
    <row r="16" spans="1:15" ht="12.75">
      <c r="A16" t="s">
        <v>3</v>
      </c>
      <c r="B16" t="s">
        <v>108</v>
      </c>
      <c r="C16" s="4">
        <v>15</v>
      </c>
      <c r="D16" s="20" t="s">
        <v>139</v>
      </c>
      <c r="E16" s="14">
        <f>5+2+10+12+12+7+12+12+10+0+2+11+14+14+13</f>
        <v>136</v>
      </c>
      <c r="F16" s="4">
        <f>11+14+6+4+4+9+4+4+6+16+14+5+2+2+4</f>
        <v>105</v>
      </c>
      <c r="G16" s="4"/>
      <c r="H16" s="6">
        <f>IF(E16+F16=0,"",E16/(F16+E16)*100)</f>
        <v>56.43153526970954</v>
      </c>
      <c r="I16" s="6"/>
      <c r="J16" s="27" t="s">
        <v>111</v>
      </c>
      <c r="K16" s="4">
        <v>10</v>
      </c>
      <c r="L16" s="4">
        <f>0+2+0+1+1+1+2+0+3+0</f>
        <v>10</v>
      </c>
      <c r="M16" s="4">
        <f>1+1+1+1+1+1+1+1+0+1</f>
        <v>9</v>
      </c>
      <c r="N16" s="4"/>
      <c r="O16" s="6">
        <f>IF(L16+M16=0,"",L16/(M16+L16)*100)</f>
        <v>52.63157894736842</v>
      </c>
    </row>
    <row r="17" spans="1:15" ht="12.75">
      <c r="A17" t="s">
        <v>47</v>
      </c>
      <c r="B17" t="s">
        <v>82</v>
      </c>
      <c r="C17" s="4">
        <v>12</v>
      </c>
      <c r="D17" s="20" t="s">
        <v>140</v>
      </c>
      <c r="E17" s="4">
        <f>7+2+3+2+10+12+11+8+11+11+12+11</f>
        <v>100</v>
      </c>
      <c r="F17" s="4">
        <f>5+14+13+14+6+4+5+8+5+5+4+6</f>
        <v>89</v>
      </c>
      <c r="G17" s="4"/>
      <c r="H17" s="6">
        <f>IF(E17+F17=0,"",E17/(F17+E17)*100)</f>
        <v>52.910052910052904</v>
      </c>
      <c r="J17" s="26"/>
      <c r="K17" s="4">
        <v>7</v>
      </c>
      <c r="L17" s="4">
        <f>1+1+0+0+2+0+1</f>
        <v>5</v>
      </c>
      <c r="M17" s="4">
        <f>1+1+1+1+1+1+1</f>
        <v>7</v>
      </c>
      <c r="O17" s="6">
        <f>IF(L17+M17=0,"",L17/(M17+L17)*100)</f>
        <v>41.66666666666667</v>
      </c>
    </row>
    <row r="18" spans="1:15" ht="12.75">
      <c r="A18" t="s">
        <v>31</v>
      </c>
      <c r="B18" t="s">
        <v>116</v>
      </c>
      <c r="C18" s="4">
        <v>16</v>
      </c>
      <c r="D18" s="20" t="s">
        <v>135</v>
      </c>
      <c r="E18" s="4">
        <f>10+4+11+7+7+4+14+6+5+9+9+11+10+11+10+6</f>
        <v>134</v>
      </c>
      <c r="F18" s="4">
        <f>7+12+4+9+8+12+2+10+11+7+7+5+5+7+6+11</f>
        <v>123</v>
      </c>
      <c r="G18" s="4">
        <f>1+1+1</f>
        <v>3</v>
      </c>
      <c r="H18" s="6">
        <f>IF(E18+F18=0,"",E18/(F18+E18)*100)</f>
        <v>52.14007782101168</v>
      </c>
      <c r="I18" s="6"/>
      <c r="J18" s="27" t="s">
        <v>112</v>
      </c>
      <c r="K18" s="4">
        <v>9</v>
      </c>
      <c r="L18" s="4">
        <f>1+2+0+0+1+0+0+0+0</f>
        <v>4</v>
      </c>
      <c r="M18" s="4">
        <f>1+1+1+1+1+1+1+1+1</f>
        <v>9</v>
      </c>
      <c r="N18" s="4"/>
      <c r="O18" s="6">
        <f>IF(L18+M18=0,"",L18/(M18+L18)*100)</f>
        <v>30.76923076923077</v>
      </c>
    </row>
    <row r="19" spans="1:15" ht="12.75">
      <c r="A19" t="s">
        <v>33</v>
      </c>
      <c r="B19" t="s">
        <v>14</v>
      </c>
      <c r="C19" s="4">
        <v>16</v>
      </c>
      <c r="D19" s="20" t="s">
        <v>135</v>
      </c>
      <c r="E19" s="4">
        <f>10+6+3+5+7+5+12+10+10+8+11+8+10+9+9+10</f>
        <v>133</v>
      </c>
      <c r="F19" s="4">
        <f>6+10+13+11+9+11+4+6+6+8+5+8+6+8+7+9</f>
        <v>127</v>
      </c>
      <c r="G19" s="4"/>
      <c r="H19" s="6">
        <f>IF(E19+F19=0,"",E19/(F19+E19)*100)</f>
        <v>51.153846153846146</v>
      </c>
      <c r="I19" s="6"/>
      <c r="J19" s="27" t="s">
        <v>113</v>
      </c>
      <c r="K19" s="4">
        <v>6</v>
      </c>
      <c r="L19" s="4">
        <f>1+3+0+0+0+0</f>
        <v>4</v>
      </c>
      <c r="M19" s="4">
        <f>1+0+1+1+1+1</f>
        <v>5</v>
      </c>
      <c r="N19" s="4"/>
      <c r="O19" s="6">
        <f>IF(L19+M19=0,"",L19/(M19+L19)*100)</f>
        <v>44.44444444444444</v>
      </c>
    </row>
    <row r="20" spans="1:15" ht="12.75">
      <c r="A20" t="s">
        <v>57</v>
      </c>
      <c r="B20" t="s">
        <v>73</v>
      </c>
      <c r="C20" s="4">
        <v>16</v>
      </c>
      <c r="D20" s="20" t="s">
        <v>135</v>
      </c>
      <c r="E20" s="4">
        <f>5+7+13+10+6+4+8+9+11+4+8+7+9+6+12+8</f>
        <v>127</v>
      </c>
      <c r="F20" s="4">
        <f>1+9+3+7+10+12+8+8+5+12+8+9+8+10+4+9</f>
        <v>123</v>
      </c>
      <c r="G20" s="4"/>
      <c r="H20" s="6">
        <f>IF(E20+F20=0,"",E20/(F20+E20)*100)</f>
        <v>50.8</v>
      </c>
      <c r="I20" s="6"/>
      <c r="J20" s="27" t="s">
        <v>113</v>
      </c>
      <c r="K20" s="4">
        <v>4</v>
      </c>
      <c r="L20" s="4">
        <f>3+0+0+0</f>
        <v>3</v>
      </c>
      <c r="M20" s="4">
        <f>0+1+1+1</f>
        <v>3</v>
      </c>
      <c r="N20" s="4"/>
      <c r="O20" s="6">
        <f>IF(L20+M20=0,"",L20/(M20+L20)*100)</f>
        <v>50</v>
      </c>
    </row>
    <row r="21" spans="1:15" ht="12.75">
      <c r="A21" t="s">
        <v>95</v>
      </c>
      <c r="B21" t="s">
        <v>115</v>
      </c>
      <c r="C21" s="4">
        <v>9</v>
      </c>
      <c r="D21" s="24" t="s">
        <v>141</v>
      </c>
      <c r="E21" s="4">
        <f>11+13+9+7+9+3+6+4+9</f>
        <v>71</v>
      </c>
      <c r="F21" s="4">
        <f>7+3+7+9+7+13+10+12+9</f>
        <v>77</v>
      </c>
      <c r="G21" s="4"/>
      <c r="H21" s="6">
        <f>IF(E21+F21=0,"",E21/(F21+E21)*100)</f>
        <v>47.97297297297297</v>
      </c>
      <c r="I21" s="6"/>
      <c r="J21" s="25"/>
      <c r="K21" s="4">
        <v>4</v>
      </c>
      <c r="L21" s="4">
        <f>0+1+0+0</f>
        <v>1</v>
      </c>
      <c r="M21" s="4">
        <f>1+1+1+1</f>
        <v>4</v>
      </c>
      <c r="N21" s="4"/>
      <c r="O21" s="6">
        <f>IF(L21+M21=0,"",L21/(M21+L21)*100)</f>
        <v>20</v>
      </c>
    </row>
    <row r="22" spans="1:15" ht="12.75">
      <c r="A22" t="s">
        <v>96</v>
      </c>
      <c r="B22" t="s">
        <v>128</v>
      </c>
      <c r="C22" s="4">
        <v>9</v>
      </c>
      <c r="D22" s="20" t="s">
        <v>141</v>
      </c>
      <c r="E22" s="4">
        <f>9+6+10+6+9+10+3+5+11</f>
        <v>69</v>
      </c>
      <c r="F22" s="4">
        <f>8+10+6+10+7+6+13+11+6</f>
        <v>77</v>
      </c>
      <c r="G22" s="4"/>
      <c r="H22" s="6">
        <f>IF(E22+F22=0,"",E22/(F22+E22)*100)</f>
        <v>47.26027397260274</v>
      </c>
      <c r="I22" s="6"/>
      <c r="J22" s="25"/>
      <c r="K22" s="4">
        <v>4</v>
      </c>
      <c r="L22" s="4">
        <f>1+0+1+0</f>
        <v>2</v>
      </c>
      <c r="M22" s="4">
        <f>1+1+1+1</f>
        <v>4</v>
      </c>
      <c r="N22" s="4"/>
      <c r="O22" s="6">
        <f>IF(L22+M22=0,"",L22/(M22+L22)*100)</f>
        <v>33.33333333333333</v>
      </c>
    </row>
    <row r="23" spans="1:15" ht="12.75">
      <c r="A23" t="s">
        <v>93</v>
      </c>
      <c r="B23" t="s">
        <v>61</v>
      </c>
      <c r="C23" s="4">
        <v>9</v>
      </c>
      <c r="D23" s="20" t="s">
        <v>141</v>
      </c>
      <c r="E23" s="4">
        <f>11+3+6+11+8+7+5+6+6</f>
        <v>63</v>
      </c>
      <c r="F23" s="4">
        <f>5+13+10+5+8+9+11+10+11</f>
        <v>82</v>
      </c>
      <c r="G23" s="4"/>
      <c r="H23" s="6">
        <f>IF(E23+F23=0,"",E23/(F23+E23)*100)</f>
        <v>43.44827586206896</v>
      </c>
      <c r="I23" s="6"/>
      <c r="J23" s="25"/>
      <c r="K23" s="4">
        <v>2</v>
      </c>
      <c r="L23" s="4">
        <f>0+0</f>
        <v>0</v>
      </c>
      <c r="M23" s="4">
        <f>1+1</f>
        <v>2</v>
      </c>
      <c r="N23" s="4"/>
      <c r="O23" s="6">
        <f>IF(L23+M23=0,"",L23/(M23+L23)*100)</f>
        <v>0</v>
      </c>
    </row>
    <row r="24" spans="1:15" ht="12.75">
      <c r="A24" t="s">
        <v>98</v>
      </c>
      <c r="B24" t="s">
        <v>101</v>
      </c>
      <c r="C24" s="4">
        <v>8</v>
      </c>
      <c r="D24" s="20" t="s">
        <v>143</v>
      </c>
      <c r="E24" s="4">
        <f>6+8+5+7+5+11+4+10</f>
        <v>56</v>
      </c>
      <c r="F24" s="4">
        <f>10+8+11+9+11+5+12+7</f>
        <v>73</v>
      </c>
      <c r="G24" s="4"/>
      <c r="H24" s="6">
        <f>IF(E24+F24=0,"",E24/(F24+E24)*100)</f>
        <v>43.41085271317829</v>
      </c>
      <c r="J24" s="27" t="s">
        <v>112</v>
      </c>
      <c r="K24" s="4">
        <v>2</v>
      </c>
      <c r="L24" s="4">
        <f>0+3</f>
        <v>3</v>
      </c>
      <c r="M24" s="4">
        <f>1+1</f>
        <v>2</v>
      </c>
      <c r="O24" s="6">
        <f>IF(L24+M24=0,"",L24/(M24+L24)*100)</f>
        <v>60</v>
      </c>
    </row>
    <row r="25" spans="1:15" ht="12.75">
      <c r="A25" t="s">
        <v>131</v>
      </c>
      <c r="B25" t="s">
        <v>89</v>
      </c>
      <c r="C25" s="4">
        <v>2</v>
      </c>
      <c r="D25" s="20" t="s">
        <v>136</v>
      </c>
      <c r="E25" s="4">
        <f>10+4</f>
        <v>14</v>
      </c>
      <c r="F25" s="4">
        <f>6+13</f>
        <v>19</v>
      </c>
      <c r="G25" s="4"/>
      <c r="H25" s="6">
        <f>IF(E25+F25=0,"",E25/(F25+E25)*100)</f>
        <v>42.42424242424242</v>
      </c>
      <c r="I25" s="6"/>
      <c r="J25" s="25"/>
      <c r="K25" s="4">
        <v>1</v>
      </c>
      <c r="L25" s="4">
        <f>0</f>
        <v>0</v>
      </c>
      <c r="M25" s="4">
        <f>1</f>
        <v>1</v>
      </c>
      <c r="N25" s="4"/>
      <c r="O25" s="6">
        <f>IF(L25+M25=0,"",L25/(M25+L25)*100)</f>
        <v>0</v>
      </c>
    </row>
    <row r="26" spans="1:15" ht="12.75">
      <c r="A26" t="s">
        <v>51</v>
      </c>
      <c r="B26" t="s">
        <v>17</v>
      </c>
      <c r="C26" s="4">
        <v>16</v>
      </c>
      <c r="D26" s="20" t="s">
        <v>135</v>
      </c>
      <c r="E26" s="4">
        <f>9+9+7+7+5+2+3+8+7+6+11+10+12+2+4+6</f>
        <v>108</v>
      </c>
      <c r="F26" s="4">
        <f>8+7+9+9+11+14+13+8+9+10+5+6+4+14+12+11</f>
        <v>150</v>
      </c>
      <c r="G26" s="4"/>
      <c r="H26" s="6">
        <f>IF(E26+F26=0,"",E26/(F26+E26)*100)</f>
        <v>41.86046511627907</v>
      </c>
      <c r="I26" s="6"/>
      <c r="J26" s="27" t="s">
        <v>120</v>
      </c>
      <c r="K26" s="4">
        <v>4</v>
      </c>
      <c r="L26" s="4">
        <f>0+3+3+1</f>
        <v>7</v>
      </c>
      <c r="M26" s="4">
        <f>1+0+0+1</f>
        <v>2</v>
      </c>
      <c r="N26" s="4"/>
      <c r="O26" s="6">
        <f>IF(L26+M26=0,"",L26/(M26+L26)*100)</f>
        <v>77.77777777777779</v>
      </c>
    </row>
    <row r="27" spans="1:15" ht="12.75">
      <c r="A27" t="s">
        <v>103</v>
      </c>
      <c r="B27" t="s">
        <v>104</v>
      </c>
      <c r="C27" s="4">
        <v>7</v>
      </c>
      <c r="D27" s="20" t="s">
        <v>145</v>
      </c>
      <c r="E27" s="4">
        <f>4+4+7+8+7+6+11</f>
        <v>47</v>
      </c>
      <c r="F27" s="4">
        <f>12+12+9+8+9+10+6</f>
        <v>66</v>
      </c>
      <c r="G27" s="4"/>
      <c r="H27" s="6">
        <f>IF(E27+F27=0,"",E27/(F27+E27)*100)</f>
        <v>41.5929203539823</v>
      </c>
      <c r="J27" s="26"/>
      <c r="K27" s="4">
        <v>1</v>
      </c>
      <c r="L27" s="4">
        <f>1</f>
        <v>1</v>
      </c>
      <c r="M27" s="4">
        <f>1</f>
        <v>1</v>
      </c>
      <c r="O27" s="6">
        <f>IF(L27+M27=0,"",L27/(M27+L27)*100)</f>
        <v>50</v>
      </c>
    </row>
    <row r="28" spans="1:15" ht="12.75">
      <c r="A28" t="s">
        <v>126</v>
      </c>
      <c r="B28" t="s">
        <v>15</v>
      </c>
      <c r="C28" s="4">
        <v>8</v>
      </c>
      <c r="D28" s="20" t="s">
        <v>143</v>
      </c>
      <c r="E28" s="4">
        <f>5+8+2+5+9+7+10+5</f>
        <v>51</v>
      </c>
      <c r="F28" s="4">
        <f>11+8+14+11+6+9+6+12</f>
        <v>77</v>
      </c>
      <c r="G28" s="4">
        <f>1</f>
        <v>1</v>
      </c>
      <c r="H28" s="6">
        <f>IF(E28+F28=0,"",E28/(F28+E28)*100)</f>
        <v>39.84375</v>
      </c>
      <c r="J28" s="26"/>
      <c r="K28" s="4">
        <v>2</v>
      </c>
      <c r="L28" s="4">
        <f>1+1</f>
        <v>2</v>
      </c>
      <c r="M28" s="4">
        <f>1+1</f>
        <v>2</v>
      </c>
      <c r="O28" s="6">
        <f>IF(L28+M28=0,"",L28/(M28+L28)*100)</f>
        <v>50</v>
      </c>
    </row>
    <row r="29" spans="1:15" ht="12.75">
      <c r="A29" t="s">
        <v>50</v>
      </c>
      <c r="B29" t="s">
        <v>85</v>
      </c>
      <c r="C29" s="4">
        <v>13</v>
      </c>
      <c r="D29" s="20" t="s">
        <v>144</v>
      </c>
      <c r="E29" s="4">
        <f>7+9+9+4+10+8+5+7+5+4+5+2+5</f>
        <v>80</v>
      </c>
      <c r="F29" s="4">
        <f>9+7+7+12+6+8+11+9+11+12+11+14+12</f>
        <v>129</v>
      </c>
      <c r="G29" s="4"/>
      <c r="H29" s="6">
        <f>IF(E29+F29=0,"",E29/(F29+E29)*100)</f>
        <v>38.27751196172249</v>
      </c>
      <c r="I29" s="6"/>
      <c r="J29" s="25"/>
      <c r="K29" s="4">
        <v>3</v>
      </c>
      <c r="L29" s="4">
        <f>0+0+2</f>
        <v>2</v>
      </c>
      <c r="M29" s="4">
        <f>1+1+1</f>
        <v>3</v>
      </c>
      <c r="N29" s="4"/>
      <c r="O29" s="6">
        <f>IF(L29+M29=0,"",L29/(M29+L29)*100)</f>
        <v>40</v>
      </c>
    </row>
    <row r="30" spans="1:15" ht="12.75">
      <c r="A30" s="23" t="s">
        <v>121</v>
      </c>
      <c r="B30" s="23" t="s">
        <v>122</v>
      </c>
      <c r="C30" s="4">
        <v>5</v>
      </c>
      <c r="D30" s="20" t="s">
        <v>138</v>
      </c>
      <c r="E30" s="4">
        <f>8+5+6+4+6</f>
        <v>29</v>
      </c>
      <c r="F30" s="4">
        <f>8+11+10+12+11</f>
        <v>52</v>
      </c>
      <c r="G30" s="4"/>
      <c r="H30" s="6">
        <f>IF(E30+F30=0,"",E30/(F30+E30)*100)</f>
        <v>35.80246913580247</v>
      </c>
      <c r="I30" s="6"/>
      <c r="J30" s="25"/>
      <c r="L30" s="4"/>
      <c r="M30" s="4"/>
      <c r="N30" s="4"/>
      <c r="O30" s="6">
        <f>IF(L30+M30=0,"",L30/(M30+L30)*100)</f>
      </c>
    </row>
    <row r="31" spans="1:15" ht="12.75">
      <c r="A31" s="23" t="s">
        <v>1</v>
      </c>
      <c r="B31" s="23" t="s">
        <v>59</v>
      </c>
      <c r="C31" s="4">
        <v>14</v>
      </c>
      <c r="D31" s="20" t="s">
        <v>146</v>
      </c>
      <c r="E31" s="4">
        <f>8+6+6+7+5+3+6+5+8+8+3+1+4+8</f>
        <v>78</v>
      </c>
      <c r="F31" s="4">
        <f>8+10+9+9+11+13+10+11+8+8+13+15+12+9</f>
        <v>146</v>
      </c>
      <c r="G31" s="4">
        <f>1</f>
        <v>1</v>
      </c>
      <c r="H31" s="6">
        <f>IF(E31+F31=0,"",E31/(F31+E31)*100)</f>
        <v>34.82142857142857</v>
      </c>
      <c r="I31" s="6"/>
      <c r="J31" s="25"/>
      <c r="L31" s="4"/>
      <c r="M31" s="4"/>
      <c r="N31" s="4"/>
      <c r="O31" s="6">
        <f>IF(L31+M31=0,"",L31/(M31+L31)*100)</f>
      </c>
    </row>
    <row r="32" spans="1:15" ht="12.75">
      <c r="A32" t="s">
        <v>127</v>
      </c>
      <c r="B32" t="s">
        <v>26</v>
      </c>
      <c r="C32" s="4">
        <v>3</v>
      </c>
      <c r="D32" s="20" t="s">
        <v>142</v>
      </c>
      <c r="E32" s="4">
        <f>10+4+1</f>
        <v>15</v>
      </c>
      <c r="F32" s="4">
        <f>6+12+16</f>
        <v>34</v>
      </c>
      <c r="G32" s="4"/>
      <c r="H32" s="6">
        <f>IF(E32+F32=0,"",E32/(F32+E32)*100)</f>
        <v>30.612244897959183</v>
      </c>
      <c r="I32" s="6"/>
      <c r="J32" s="25"/>
      <c r="K32" s="4">
        <v>1</v>
      </c>
      <c r="L32" s="4">
        <f>0</f>
        <v>0</v>
      </c>
      <c r="M32" s="4">
        <f>1</f>
        <v>1</v>
      </c>
      <c r="N32" s="4"/>
      <c r="O32" s="6">
        <f>IF(L32+M32=0,"",L32/(M32+L32)*100)</f>
        <v>0</v>
      </c>
    </row>
    <row r="33" spans="1:15" ht="12.75">
      <c r="A33" t="s">
        <v>102</v>
      </c>
      <c r="B33" t="s">
        <v>16</v>
      </c>
      <c r="C33" s="4">
        <v>4</v>
      </c>
      <c r="D33" s="20" t="s">
        <v>147</v>
      </c>
      <c r="E33" s="4">
        <f>3+2+9+3</f>
        <v>17</v>
      </c>
      <c r="F33" s="4">
        <f>13+14+7+14</f>
        <v>48</v>
      </c>
      <c r="G33" s="4"/>
      <c r="H33" s="6">
        <f>IF(E33+F33=0,"",E33/(F33+E33)*100)</f>
        <v>26.153846153846157</v>
      </c>
      <c r="I33" s="6"/>
      <c r="J33" s="25"/>
      <c r="L33" s="4"/>
      <c r="M33" s="4"/>
      <c r="N33" s="4"/>
      <c r="O33" s="6">
        <f>IF(L33+M33=0,"",L33/(M33+L33)*100)</f>
      </c>
    </row>
    <row r="34" spans="4:15" ht="12.75">
      <c r="D34" s="20"/>
      <c r="E34" s="4"/>
      <c r="F34" s="4"/>
      <c r="G34" s="4"/>
      <c r="H34" s="6"/>
      <c r="J34" s="26"/>
      <c r="L34" s="4"/>
      <c r="M34" s="4"/>
      <c r="O34" s="6"/>
    </row>
    <row r="35" ht="12.75">
      <c r="J35" s="26"/>
    </row>
    <row r="36" spans="1:15" ht="12.75">
      <c r="A36" t="s">
        <v>34</v>
      </c>
      <c r="B36" t="s">
        <v>22</v>
      </c>
      <c r="C36" s="4">
        <v>11</v>
      </c>
      <c r="D36" s="20" t="s">
        <v>105</v>
      </c>
      <c r="E36" s="4">
        <f>4+8+12+13+12+14+8+11+13+9+3</f>
        <v>107</v>
      </c>
      <c r="F36" s="4">
        <f>4+8+4+3+3+2+8+5+3+7+0</f>
        <v>47</v>
      </c>
      <c r="G36" s="4">
        <f>1+1</f>
        <v>2</v>
      </c>
      <c r="H36" s="6">
        <f aca="true" t="shared" si="0" ref="H36:H42">IF(E36+F36=0,"",E36/(F36+E36)*100)</f>
        <v>69.48051948051948</v>
      </c>
      <c r="I36" s="6"/>
      <c r="J36" s="25"/>
      <c r="K36" s="4">
        <v>7</v>
      </c>
      <c r="L36" s="4">
        <f>1+1+0+0+0</f>
        <v>2</v>
      </c>
      <c r="M36" s="4">
        <f>1+1+1+1+1+1+1</f>
        <v>7</v>
      </c>
      <c r="N36" s="4"/>
      <c r="O36" s="6">
        <f>IF(L36+M36=0,"",L36/(M36+L36)*100)</f>
        <v>22.22222222222222</v>
      </c>
    </row>
    <row r="37" spans="1:15" ht="12.75">
      <c r="A37" t="s">
        <v>49</v>
      </c>
      <c r="B37" t="s">
        <v>26</v>
      </c>
      <c r="C37" s="4">
        <v>12</v>
      </c>
      <c r="D37" s="20" t="s">
        <v>114</v>
      </c>
      <c r="E37" s="4">
        <f>2+6+6+7+5+13+8+4+5+12+10+10</f>
        <v>88</v>
      </c>
      <c r="F37" s="4">
        <f>14+10+10+9+11+3+8+12+11+4+6+6</f>
        <v>104</v>
      </c>
      <c r="G37" s="4"/>
      <c r="H37" s="6">
        <f t="shared" si="0"/>
        <v>45.83333333333333</v>
      </c>
      <c r="I37" s="6"/>
      <c r="J37" s="25"/>
      <c r="K37" s="4">
        <v>4</v>
      </c>
      <c r="L37" s="4">
        <f>1+0+0+0</f>
        <v>1</v>
      </c>
      <c r="M37" s="4">
        <f>1+1+1+1</f>
        <v>4</v>
      </c>
      <c r="N37" s="4"/>
      <c r="O37" s="6">
        <f>IF(L37+M37=0,"",L37/(M37+L37)*100)</f>
        <v>20</v>
      </c>
    </row>
    <row r="38" spans="1:15" ht="12.75">
      <c r="A38" t="s">
        <v>88</v>
      </c>
      <c r="B38" t="s">
        <v>89</v>
      </c>
      <c r="C38" s="4">
        <v>8</v>
      </c>
      <c r="D38" s="20" t="s">
        <v>125</v>
      </c>
      <c r="E38" s="4">
        <f>8+10+7+11+6+11+11+10</f>
        <v>74</v>
      </c>
      <c r="F38" s="4">
        <f>8+6+9+4+10+5+5+6</f>
        <v>53</v>
      </c>
      <c r="G38" s="4">
        <v>1</v>
      </c>
      <c r="H38" s="6">
        <f t="shared" si="0"/>
        <v>58.26771653543307</v>
      </c>
      <c r="I38" s="6"/>
      <c r="J38" s="25" t="s">
        <v>112</v>
      </c>
      <c r="K38" s="4">
        <v>5</v>
      </c>
      <c r="L38" s="4">
        <f>1+0+1+2+0</f>
        <v>4</v>
      </c>
      <c r="M38" s="4">
        <f>1+1+1+1+1</f>
        <v>5</v>
      </c>
      <c r="N38" s="4"/>
      <c r="O38" s="6">
        <f>IF(L38+M38=0,"",L38/(M38+L38)*100)</f>
        <v>44.44444444444444</v>
      </c>
    </row>
    <row r="39" spans="1:15" ht="12.75">
      <c r="A39" t="s">
        <v>72</v>
      </c>
      <c r="B39" t="s">
        <v>63</v>
      </c>
      <c r="C39" s="4">
        <v>8</v>
      </c>
      <c r="D39" s="20" t="s">
        <v>97</v>
      </c>
      <c r="E39" s="4">
        <f>8+8+7+10+9+8+8+10</f>
        <v>68</v>
      </c>
      <c r="F39" s="4">
        <f>8+8+9+9+7+8+8+8</f>
        <v>65</v>
      </c>
      <c r="G39" s="4"/>
      <c r="H39" s="6">
        <f t="shared" si="0"/>
        <v>51.127819548872175</v>
      </c>
      <c r="I39" s="6"/>
      <c r="J39" s="25"/>
      <c r="K39" s="4">
        <v>2</v>
      </c>
      <c r="L39" s="4">
        <f>1+0</f>
        <v>1</v>
      </c>
      <c r="M39" s="4">
        <f>1+1</f>
        <v>2</v>
      </c>
      <c r="N39" s="4"/>
      <c r="O39" s="6">
        <f aca="true" t="shared" si="1" ref="O39:O67">IF(L39+M39=0,"",L39/(M39+L39)*100)</f>
        <v>33.33333333333333</v>
      </c>
    </row>
    <row r="40" spans="1:15" ht="12.75">
      <c r="A40" t="s">
        <v>44</v>
      </c>
      <c r="B40" t="s">
        <v>15</v>
      </c>
      <c r="C40" s="4">
        <v>7</v>
      </c>
      <c r="D40" s="20" t="s">
        <v>87</v>
      </c>
      <c r="E40" s="4">
        <f>3+9+9+15+7+10+6</f>
        <v>59</v>
      </c>
      <c r="F40" s="4">
        <f>13+7+7+1+9+6+10</f>
        <v>53</v>
      </c>
      <c r="G40" s="4"/>
      <c r="H40" s="6">
        <f t="shared" si="0"/>
        <v>52.67857142857143</v>
      </c>
      <c r="I40" s="6"/>
      <c r="J40" s="27" t="s">
        <v>112</v>
      </c>
      <c r="K40" s="4">
        <v>4</v>
      </c>
      <c r="L40" s="4">
        <f>0+1+2+0</f>
        <v>3</v>
      </c>
      <c r="M40" s="4">
        <f>1+1+1+1</f>
        <v>4</v>
      </c>
      <c r="N40" s="4"/>
      <c r="O40" s="6">
        <f t="shared" si="1"/>
        <v>42.857142857142854</v>
      </c>
    </row>
    <row r="41" spans="1:15" ht="12.75">
      <c r="A41" t="s">
        <v>75</v>
      </c>
      <c r="B41" t="s">
        <v>18</v>
      </c>
      <c r="C41" s="4">
        <v>10</v>
      </c>
      <c r="D41" s="20" t="s">
        <v>117</v>
      </c>
      <c r="E41" s="4">
        <f>2+1+9+4+3+10+9+7+12+2</f>
        <v>59</v>
      </c>
      <c r="F41" s="4">
        <f>2+15+7+12+13+6+7+9+4+6</f>
        <v>81</v>
      </c>
      <c r="G41" s="4"/>
      <c r="H41" s="6">
        <f t="shared" si="0"/>
        <v>42.142857142857146</v>
      </c>
      <c r="I41" s="6"/>
      <c r="J41" s="25"/>
      <c r="K41" s="4">
        <v>4</v>
      </c>
      <c r="L41" s="4">
        <f>0+1+0</f>
        <v>1</v>
      </c>
      <c r="M41" s="4">
        <f>2+1+1</f>
        <v>4</v>
      </c>
      <c r="N41" s="4"/>
      <c r="O41" s="6">
        <f>IF(L41+M41=0,"",L41/(M41+L41)*100)</f>
        <v>20</v>
      </c>
    </row>
    <row r="42" spans="1:15" ht="12.75">
      <c r="A42" t="s">
        <v>70</v>
      </c>
      <c r="B42" s="21" t="s">
        <v>94</v>
      </c>
      <c r="C42" s="4">
        <v>10</v>
      </c>
      <c r="D42" s="20" t="s">
        <v>107</v>
      </c>
      <c r="E42" s="4">
        <f>0+11+5+5+8+7+5+6+3+7</f>
        <v>57</v>
      </c>
      <c r="F42" s="4">
        <f>3+5+11+11+8+9+11+10+13+9</f>
        <v>90</v>
      </c>
      <c r="G42" s="4"/>
      <c r="H42" s="6">
        <f t="shared" si="0"/>
        <v>38.775510204081634</v>
      </c>
      <c r="J42" s="26"/>
      <c r="K42" s="4">
        <v>1</v>
      </c>
      <c r="L42" s="4">
        <f>0</f>
        <v>0</v>
      </c>
      <c r="M42" s="4">
        <f>1</f>
        <v>1</v>
      </c>
      <c r="O42" s="6">
        <f>IF(L42+M42=0,"",L42/(M42+L42)*100)</f>
        <v>0</v>
      </c>
    </row>
    <row r="43" spans="1:15" ht="12.75">
      <c r="A43" t="s">
        <v>2</v>
      </c>
      <c r="B43" t="s">
        <v>12</v>
      </c>
      <c r="C43" s="4">
        <v>7</v>
      </c>
      <c r="D43" s="20" t="s">
        <v>87</v>
      </c>
      <c r="E43" s="4">
        <f>4+5+7+9+10+9+10</f>
        <v>54</v>
      </c>
      <c r="F43" s="4">
        <f>12+11+9+10+6+7+6</f>
        <v>61</v>
      </c>
      <c r="G43" s="4"/>
      <c r="H43" s="6">
        <f aca="true" t="shared" si="2" ref="H43:H55">IF(E43+F43=0,"",E43/(F43+E43)*100)</f>
        <v>46.95652173913044</v>
      </c>
      <c r="J43" s="27" t="s">
        <v>112</v>
      </c>
      <c r="K43" s="4">
        <v>3</v>
      </c>
      <c r="L43" s="4">
        <f>1+1+2</f>
        <v>4</v>
      </c>
      <c r="M43" s="4">
        <f>1+1+1</f>
        <v>3</v>
      </c>
      <c r="O43" s="6">
        <f t="shared" si="1"/>
        <v>57.14285714285714</v>
      </c>
    </row>
    <row r="44" spans="1:15" ht="12.75">
      <c r="A44" t="s">
        <v>43</v>
      </c>
      <c r="B44" t="s">
        <v>56</v>
      </c>
      <c r="C44" s="4">
        <v>9</v>
      </c>
      <c r="D44" s="20" t="s">
        <v>99</v>
      </c>
      <c r="E44" s="4">
        <f>4+9+6+4+3+8+5+6+8</f>
        <v>53</v>
      </c>
      <c r="F44" s="4">
        <f>12+7+10+12+13+8+11+10+8</f>
        <v>91</v>
      </c>
      <c r="G44" s="4"/>
      <c r="H44" s="6">
        <f>IF(E44+F44=0,"",E44/(F44+E44)*100)</f>
        <v>36.80555555555556</v>
      </c>
      <c r="I44" s="6"/>
      <c r="J44" s="25"/>
      <c r="K44" s="4">
        <v>1</v>
      </c>
      <c r="L44" s="4">
        <f>2</f>
        <v>2</v>
      </c>
      <c r="M44" s="14">
        <f>1</f>
        <v>1</v>
      </c>
      <c r="N44" s="4"/>
      <c r="O44" s="6">
        <f>IF(L44+M44=0,"",L44/(M44+L44)*100)</f>
        <v>66.66666666666666</v>
      </c>
    </row>
    <row r="45" spans="1:15" ht="12.75">
      <c r="A45" t="s">
        <v>30</v>
      </c>
      <c r="B45" s="21" t="s">
        <v>20</v>
      </c>
      <c r="C45" s="4">
        <v>6</v>
      </c>
      <c r="D45" s="20" t="s">
        <v>86</v>
      </c>
      <c r="E45" s="4">
        <f>4+8+9+8+7+6</f>
        <v>42</v>
      </c>
      <c r="F45" s="4">
        <f>12+8+7+8+9+10</f>
        <v>54</v>
      </c>
      <c r="G45" s="4"/>
      <c r="H45" s="6">
        <f t="shared" si="2"/>
        <v>43.75</v>
      </c>
      <c r="I45" s="6"/>
      <c r="J45" s="25"/>
      <c r="K45" s="4">
        <v>1</v>
      </c>
      <c r="L45" s="4">
        <f>0</f>
        <v>0</v>
      </c>
      <c r="M45" s="4">
        <f>1</f>
        <v>1</v>
      </c>
      <c r="N45" s="4"/>
      <c r="O45" s="6">
        <f t="shared" si="1"/>
        <v>0</v>
      </c>
    </row>
    <row r="46" spans="1:15" ht="12.75">
      <c r="A46" t="s">
        <v>42</v>
      </c>
      <c r="B46" t="s">
        <v>11</v>
      </c>
      <c r="C46" s="4">
        <v>5</v>
      </c>
      <c r="D46" s="20" t="s">
        <v>83</v>
      </c>
      <c r="E46" s="4">
        <f>9+12+11+5+4</f>
        <v>41</v>
      </c>
      <c r="F46" s="4">
        <f>8+4+5+11+2</f>
        <v>30</v>
      </c>
      <c r="G46" s="4"/>
      <c r="H46" s="6">
        <f t="shared" si="2"/>
        <v>57.74647887323944</v>
      </c>
      <c r="I46" s="6"/>
      <c r="J46" s="25"/>
      <c r="K46" s="4">
        <v>2</v>
      </c>
      <c r="L46" s="4">
        <f>1+0</f>
        <v>1</v>
      </c>
      <c r="M46" s="4">
        <f>1+1</f>
        <v>2</v>
      </c>
      <c r="N46" s="4"/>
      <c r="O46" s="6">
        <f t="shared" si="1"/>
        <v>33.33333333333333</v>
      </c>
    </row>
    <row r="47" spans="1:15" ht="12.75">
      <c r="A47" t="s">
        <v>79</v>
      </c>
      <c r="B47" t="s">
        <v>52</v>
      </c>
      <c r="C47" s="4">
        <v>5</v>
      </c>
      <c r="D47" s="20" t="s">
        <v>100</v>
      </c>
      <c r="E47" s="4">
        <f>10+12+7+5+7</f>
        <v>41</v>
      </c>
      <c r="F47" s="4">
        <f>6+4+9+11+9</f>
        <v>39</v>
      </c>
      <c r="G47" s="4"/>
      <c r="H47" s="6">
        <f>IF(E47+F47=0,"",E47/(F47+E47)*100)</f>
        <v>51.24999999999999</v>
      </c>
      <c r="I47" s="6"/>
      <c r="J47" s="27" t="s">
        <v>112</v>
      </c>
      <c r="K47" s="4">
        <v>2</v>
      </c>
      <c r="L47" s="4">
        <f>2+2</f>
        <v>4</v>
      </c>
      <c r="M47" s="4">
        <f>1+1</f>
        <v>2</v>
      </c>
      <c r="N47" s="4"/>
      <c r="O47" s="6">
        <f>IF(L47+M47=0,"",L47/(M47+L47)*100)</f>
        <v>66.66666666666666</v>
      </c>
    </row>
    <row r="48" spans="1:15" ht="12.75">
      <c r="A48" t="s">
        <v>45</v>
      </c>
      <c r="B48" t="s">
        <v>91</v>
      </c>
      <c r="C48" s="4">
        <v>5</v>
      </c>
      <c r="D48" s="5" t="s">
        <v>90</v>
      </c>
      <c r="E48" s="4">
        <f>7+10+3+9+2</f>
        <v>31</v>
      </c>
      <c r="F48" s="4">
        <f>5+7+13+7+14</f>
        <v>46</v>
      </c>
      <c r="G48" s="4"/>
      <c r="H48" s="6">
        <f t="shared" si="2"/>
        <v>40.25974025974026</v>
      </c>
      <c r="I48" s="6"/>
      <c r="J48" s="25"/>
      <c r="K48" s="4">
        <v>2</v>
      </c>
      <c r="L48" s="4">
        <f>0+0</f>
        <v>0</v>
      </c>
      <c r="M48" s="4">
        <f>1+1</f>
        <v>2</v>
      </c>
      <c r="N48" s="4"/>
      <c r="O48" s="6">
        <f t="shared" si="1"/>
        <v>0</v>
      </c>
    </row>
    <row r="49" spans="1:15" ht="12.75">
      <c r="A49" t="s">
        <v>29</v>
      </c>
      <c r="B49" t="s">
        <v>0</v>
      </c>
      <c r="C49" s="4">
        <v>3</v>
      </c>
      <c r="D49" s="20" t="s">
        <v>4</v>
      </c>
      <c r="E49" s="4">
        <f>14+9+2</f>
        <v>25</v>
      </c>
      <c r="F49" s="4">
        <f>2+7+2</f>
        <v>11</v>
      </c>
      <c r="G49" s="4"/>
      <c r="H49" s="6">
        <f t="shared" si="2"/>
        <v>69.44444444444444</v>
      </c>
      <c r="I49" s="6"/>
      <c r="J49" s="27" t="s">
        <v>112</v>
      </c>
      <c r="K49" s="4">
        <v>3</v>
      </c>
      <c r="L49" s="4">
        <f>2+1+1</f>
        <v>4</v>
      </c>
      <c r="M49" s="4">
        <f>1+1+1</f>
        <v>3</v>
      </c>
      <c r="N49" s="4"/>
      <c r="O49" s="6">
        <f t="shared" si="1"/>
        <v>57.14285714285714</v>
      </c>
    </row>
    <row r="50" spans="1:15" ht="12.75">
      <c r="A50" t="s">
        <v>62</v>
      </c>
      <c r="B50" t="s">
        <v>16</v>
      </c>
      <c r="C50" s="4">
        <v>3</v>
      </c>
      <c r="D50" s="20" t="s">
        <v>4</v>
      </c>
      <c r="E50" s="4">
        <f>5+15+5</f>
        <v>25</v>
      </c>
      <c r="F50" s="4">
        <f>11+1+11</f>
        <v>23</v>
      </c>
      <c r="G50" s="4"/>
      <c r="H50" s="6">
        <f t="shared" si="2"/>
        <v>52.083333333333336</v>
      </c>
      <c r="I50" s="6"/>
      <c r="J50" s="25"/>
      <c r="K50" s="4">
        <v>1</v>
      </c>
      <c r="L50" s="4">
        <f>0</f>
        <v>0</v>
      </c>
      <c r="M50" s="4">
        <f>1</f>
        <v>1</v>
      </c>
      <c r="N50" s="4"/>
      <c r="O50" s="6">
        <f t="shared" si="1"/>
        <v>0</v>
      </c>
    </row>
    <row r="51" spans="1:15" ht="12.75">
      <c r="A51" t="s">
        <v>53</v>
      </c>
      <c r="B51" t="s">
        <v>19</v>
      </c>
      <c r="C51" s="4">
        <v>3</v>
      </c>
      <c r="D51" s="20" t="s">
        <v>4</v>
      </c>
      <c r="E51" s="4">
        <f>10+5+6</f>
        <v>21</v>
      </c>
      <c r="F51" s="4">
        <f>7+11+10</f>
        <v>28</v>
      </c>
      <c r="G51" s="4"/>
      <c r="H51" s="6">
        <f t="shared" si="2"/>
        <v>42.857142857142854</v>
      </c>
      <c r="I51" s="6"/>
      <c r="J51" s="25"/>
      <c r="K51" s="4">
        <v>1</v>
      </c>
      <c r="L51" s="4">
        <f>0</f>
        <v>0</v>
      </c>
      <c r="M51" s="4">
        <f>1</f>
        <v>1</v>
      </c>
      <c r="N51" s="4"/>
      <c r="O51" s="6">
        <f t="shared" si="1"/>
        <v>0</v>
      </c>
    </row>
    <row r="52" spans="1:15" ht="12.75">
      <c r="A52" t="s">
        <v>106</v>
      </c>
      <c r="B52" t="s">
        <v>123</v>
      </c>
      <c r="C52" s="4">
        <v>3</v>
      </c>
      <c r="D52" s="20" t="s">
        <v>124</v>
      </c>
      <c r="E52" s="4">
        <f>3+8+5</f>
        <v>16</v>
      </c>
      <c r="F52" s="4">
        <f>10+8+11</f>
        <v>29</v>
      </c>
      <c r="G52" s="4"/>
      <c r="H52" s="6">
        <f>IF(E52+F52=0,"",E52/(F52+E52)*100)</f>
        <v>35.55555555555556</v>
      </c>
      <c r="J52" s="26"/>
      <c r="L52" s="4"/>
      <c r="M52" s="4"/>
      <c r="O52" s="6">
        <f>IF(L52+M52=0,"",L52/(M52+L52)*100)</f>
      </c>
    </row>
    <row r="53" spans="1:15" ht="12.75">
      <c r="A53" t="s">
        <v>102</v>
      </c>
      <c r="B53" t="s">
        <v>0</v>
      </c>
      <c r="C53" s="4">
        <v>2</v>
      </c>
      <c r="D53" s="20" t="s">
        <v>109</v>
      </c>
      <c r="E53" s="4">
        <f>7+8</f>
        <v>15</v>
      </c>
      <c r="F53" s="4">
        <f>9+8</f>
        <v>17</v>
      </c>
      <c r="G53" s="4"/>
      <c r="H53" s="6">
        <f>IF(E53+F53=0,"",E53/(F53+E53)*100)</f>
        <v>46.875</v>
      </c>
      <c r="J53" s="26"/>
      <c r="L53" s="4"/>
      <c r="M53" s="4"/>
      <c r="O53" s="6">
        <f>IF(L53+M53=0,"",L53/(M53+L53)*100)</f>
      </c>
    </row>
    <row r="54" spans="1:15" ht="12.75">
      <c r="A54" t="s">
        <v>46</v>
      </c>
      <c r="B54" t="s">
        <v>80</v>
      </c>
      <c r="C54" s="4">
        <v>1</v>
      </c>
      <c r="D54" s="20" t="s">
        <v>84</v>
      </c>
      <c r="E54" s="4">
        <f>9+4</f>
        <v>13</v>
      </c>
      <c r="F54" s="4">
        <f>6+6</f>
        <v>12</v>
      </c>
      <c r="G54" s="4">
        <f>1</f>
        <v>1</v>
      </c>
      <c r="H54" s="6">
        <f t="shared" si="2"/>
        <v>52</v>
      </c>
      <c r="I54" s="6"/>
      <c r="J54" s="25"/>
      <c r="K54" s="4">
        <v>1</v>
      </c>
      <c r="L54" s="4">
        <f>1</f>
        <v>1</v>
      </c>
      <c r="M54" s="4">
        <f>1</f>
        <v>1</v>
      </c>
      <c r="N54" s="4"/>
      <c r="O54" s="6">
        <f t="shared" si="1"/>
        <v>50</v>
      </c>
    </row>
    <row r="55" spans="1:15" ht="12.75">
      <c r="A55" t="s">
        <v>68</v>
      </c>
      <c r="B55" t="s">
        <v>18</v>
      </c>
      <c r="C55" s="4">
        <v>3</v>
      </c>
      <c r="D55" s="20" t="s">
        <v>4</v>
      </c>
      <c r="E55" s="4">
        <f>4+5+4</f>
        <v>13</v>
      </c>
      <c r="F55" s="4">
        <f>1+11+8</f>
        <v>20</v>
      </c>
      <c r="G55" s="4"/>
      <c r="H55" s="6">
        <f t="shared" si="2"/>
        <v>39.39393939393939</v>
      </c>
      <c r="I55" s="6"/>
      <c r="J55" s="25"/>
      <c r="K55" s="4">
        <v>1</v>
      </c>
      <c r="L55" s="4">
        <f>0</f>
        <v>0</v>
      </c>
      <c r="M55" s="4">
        <f>1</f>
        <v>1</v>
      </c>
      <c r="N55" s="4"/>
      <c r="O55" s="6">
        <f t="shared" si="1"/>
        <v>0</v>
      </c>
    </row>
    <row r="56" spans="1:15" ht="12.75">
      <c r="A56" t="s">
        <v>60</v>
      </c>
      <c r="B56" t="s">
        <v>61</v>
      </c>
      <c r="C56" s="4">
        <v>2</v>
      </c>
      <c r="D56" s="20" t="s">
        <v>71</v>
      </c>
      <c r="E56" s="4">
        <f>5+5</f>
        <v>10</v>
      </c>
      <c r="F56" s="4">
        <f>3+8</f>
        <v>11</v>
      </c>
      <c r="G56" s="4"/>
      <c r="H56" s="6">
        <f aca="true" t="shared" si="3" ref="H56:H61">IF(E56+F56=0,"",E56/(F56+E56)*100)</f>
        <v>47.61904761904761</v>
      </c>
      <c r="I56" s="6"/>
      <c r="J56" s="25"/>
      <c r="L56" s="4"/>
      <c r="M56" s="4"/>
      <c r="N56" s="4"/>
      <c r="O56" s="6">
        <f t="shared" si="1"/>
      </c>
    </row>
    <row r="57" spans="1:15" ht="12.75">
      <c r="A57" t="s">
        <v>39</v>
      </c>
      <c r="B57" t="s">
        <v>74</v>
      </c>
      <c r="C57" s="4">
        <v>2</v>
      </c>
      <c r="D57" s="5" t="s">
        <v>76</v>
      </c>
      <c r="E57" s="4">
        <f>4+6</f>
        <v>10</v>
      </c>
      <c r="F57" s="4">
        <f>12+10</f>
        <v>22</v>
      </c>
      <c r="G57" s="4"/>
      <c r="H57" s="6">
        <f t="shared" si="3"/>
        <v>31.25</v>
      </c>
      <c r="I57" s="6"/>
      <c r="J57" s="25"/>
      <c r="L57" s="4"/>
      <c r="M57" s="4"/>
      <c r="N57" s="4"/>
      <c r="O57" s="6">
        <f t="shared" si="1"/>
      </c>
    </row>
    <row r="58" spans="1:15" ht="12.75">
      <c r="A58" t="s">
        <v>54</v>
      </c>
      <c r="B58" t="s">
        <v>18</v>
      </c>
      <c r="C58" s="4">
        <v>1</v>
      </c>
      <c r="D58" s="20">
        <v>2006</v>
      </c>
      <c r="E58" s="4">
        <f>7</f>
        <v>7</v>
      </c>
      <c r="F58" s="4">
        <f>4</f>
        <v>4</v>
      </c>
      <c r="G58" s="4"/>
      <c r="H58" s="6">
        <f t="shared" si="3"/>
        <v>63.63636363636363</v>
      </c>
      <c r="J58" s="26"/>
      <c r="L58" s="4"/>
      <c r="M58" s="4"/>
      <c r="O58" s="6">
        <f t="shared" si="1"/>
      </c>
    </row>
    <row r="59" spans="1:15" ht="12.75">
      <c r="A59" t="s">
        <v>69</v>
      </c>
      <c r="B59" t="s">
        <v>59</v>
      </c>
      <c r="C59" s="4">
        <v>1</v>
      </c>
      <c r="D59" s="5">
        <v>2007</v>
      </c>
      <c r="E59" s="4">
        <f>7</f>
        <v>7</v>
      </c>
      <c r="F59" s="4">
        <f>9</f>
        <v>9</v>
      </c>
      <c r="G59" s="4"/>
      <c r="H59" s="6">
        <f t="shared" si="3"/>
        <v>43.75</v>
      </c>
      <c r="I59" s="6"/>
      <c r="J59" s="25"/>
      <c r="L59" s="4"/>
      <c r="M59" s="4"/>
      <c r="N59" s="4"/>
      <c r="O59" s="6">
        <f t="shared" si="1"/>
      </c>
    </row>
    <row r="60" spans="1:15" ht="12.75">
      <c r="A60" t="s">
        <v>67</v>
      </c>
      <c r="B60" t="s">
        <v>24</v>
      </c>
      <c r="C60" s="4">
        <v>1</v>
      </c>
      <c r="D60" s="5">
        <v>2006</v>
      </c>
      <c r="E60" s="4">
        <f>5</f>
        <v>5</v>
      </c>
      <c r="F60" s="4">
        <f>2</f>
        <v>2</v>
      </c>
      <c r="G60" s="4"/>
      <c r="H60" s="6">
        <f t="shared" si="3"/>
        <v>71.42857142857143</v>
      </c>
      <c r="I60" s="6"/>
      <c r="J60" s="25"/>
      <c r="K60" s="4">
        <v>1</v>
      </c>
      <c r="L60" s="4">
        <f>0</f>
        <v>0</v>
      </c>
      <c r="M60" s="4">
        <f>1</f>
        <v>1</v>
      </c>
      <c r="N60" s="4"/>
      <c r="O60" s="6">
        <f t="shared" si="1"/>
        <v>0</v>
      </c>
    </row>
    <row r="61" spans="1:15" ht="12.75">
      <c r="A61" t="s">
        <v>64</v>
      </c>
      <c r="B61" t="s">
        <v>61</v>
      </c>
      <c r="C61" s="4">
        <v>1</v>
      </c>
      <c r="D61" s="20">
        <v>2006</v>
      </c>
      <c r="E61" s="4">
        <f>5</f>
        <v>5</v>
      </c>
      <c r="F61" s="4">
        <f>4</f>
        <v>4</v>
      </c>
      <c r="G61" s="4"/>
      <c r="H61" s="6">
        <f t="shared" si="3"/>
        <v>55.55555555555556</v>
      </c>
      <c r="I61" s="6"/>
      <c r="J61" s="25"/>
      <c r="K61" s="4">
        <v>1</v>
      </c>
      <c r="L61" s="4">
        <f>1</f>
        <v>1</v>
      </c>
      <c r="M61" s="4">
        <f>1</f>
        <v>1</v>
      </c>
      <c r="N61" s="4"/>
      <c r="O61" s="6">
        <f t="shared" si="1"/>
        <v>50</v>
      </c>
    </row>
    <row r="62" spans="1:15" ht="12.75">
      <c r="A62" t="s">
        <v>55</v>
      </c>
      <c r="B62" t="s">
        <v>24</v>
      </c>
      <c r="C62" s="4">
        <v>1</v>
      </c>
      <c r="D62" s="20">
        <v>2006</v>
      </c>
      <c r="E62" s="4">
        <f>5</f>
        <v>5</v>
      </c>
      <c r="F62" s="4">
        <f>5</f>
        <v>5</v>
      </c>
      <c r="G62" s="4"/>
      <c r="H62" s="6">
        <f aca="true" t="shared" si="4" ref="H62:H69">IF(E62+F62=0,"",E62/(F62+E62)*100)</f>
        <v>50</v>
      </c>
      <c r="I62" s="6"/>
      <c r="J62" s="25"/>
      <c r="L62" s="4"/>
      <c r="M62" s="4"/>
      <c r="N62" s="4"/>
      <c r="O62" s="6">
        <f t="shared" si="1"/>
      </c>
    </row>
    <row r="63" spans="1:15" ht="12.75">
      <c r="A63" t="s">
        <v>66</v>
      </c>
      <c r="B63" t="s">
        <v>59</v>
      </c>
      <c r="C63" s="4">
        <v>1</v>
      </c>
      <c r="D63" s="20">
        <v>2006</v>
      </c>
      <c r="E63" s="4">
        <f>5</f>
        <v>5</v>
      </c>
      <c r="F63" s="4">
        <f>6</f>
        <v>6</v>
      </c>
      <c r="G63" s="4"/>
      <c r="H63" s="6">
        <f t="shared" si="4"/>
        <v>45.45454545454545</v>
      </c>
      <c r="I63" s="6"/>
      <c r="J63" s="25"/>
      <c r="L63" s="4"/>
      <c r="M63" s="4"/>
      <c r="N63" s="4"/>
      <c r="O63" s="6">
        <f t="shared" si="1"/>
      </c>
    </row>
    <row r="64" spans="1:15" ht="12.75">
      <c r="A64" t="s">
        <v>32</v>
      </c>
      <c r="B64" t="s">
        <v>52</v>
      </c>
      <c r="C64" s="4">
        <v>1</v>
      </c>
      <c r="D64" s="5">
        <v>2006</v>
      </c>
      <c r="E64" s="4">
        <f>4</f>
        <v>4</v>
      </c>
      <c r="F64" s="4">
        <f>8</f>
        <v>8</v>
      </c>
      <c r="G64" s="4"/>
      <c r="H64" s="6">
        <f t="shared" si="4"/>
        <v>33.33333333333333</v>
      </c>
      <c r="I64" s="6"/>
      <c r="J64" s="25"/>
      <c r="L64" s="4"/>
      <c r="M64" s="4"/>
      <c r="N64" s="4"/>
      <c r="O64" s="6">
        <f t="shared" si="1"/>
      </c>
    </row>
    <row r="65" spans="1:15" ht="12.75">
      <c r="A65" t="s">
        <v>58</v>
      </c>
      <c r="B65" t="s">
        <v>59</v>
      </c>
      <c r="C65" s="4">
        <v>1</v>
      </c>
      <c r="D65" s="20">
        <v>2006</v>
      </c>
      <c r="E65" s="4">
        <f>3</f>
        <v>3</v>
      </c>
      <c r="F65" s="4">
        <f>2</f>
        <v>2</v>
      </c>
      <c r="G65" s="4"/>
      <c r="H65" s="6">
        <f t="shared" si="4"/>
        <v>60</v>
      </c>
      <c r="I65" s="6"/>
      <c r="J65" s="25"/>
      <c r="L65" s="4"/>
      <c r="M65" s="4"/>
      <c r="N65" s="4"/>
      <c r="O65" s="6">
        <f t="shared" si="1"/>
      </c>
    </row>
    <row r="66" spans="1:15" ht="12.75">
      <c r="A66" t="s">
        <v>47</v>
      </c>
      <c r="B66" t="s">
        <v>22</v>
      </c>
      <c r="C66" s="4">
        <v>1</v>
      </c>
      <c r="D66" s="20">
        <v>2006</v>
      </c>
      <c r="E66" s="4">
        <f>3</f>
        <v>3</v>
      </c>
      <c r="F66" s="4">
        <f>4</f>
        <v>4</v>
      </c>
      <c r="G66" s="4"/>
      <c r="H66" s="6">
        <f t="shared" si="4"/>
        <v>42.857142857142854</v>
      </c>
      <c r="J66" s="26"/>
      <c r="L66" s="4"/>
      <c r="M66" s="4"/>
      <c r="O66" s="6">
        <f t="shared" si="1"/>
      </c>
    </row>
    <row r="67" spans="1:15" ht="12.75">
      <c r="A67" t="s">
        <v>92</v>
      </c>
      <c r="B67" t="s">
        <v>0</v>
      </c>
      <c r="C67" s="4">
        <v>1</v>
      </c>
      <c r="D67" s="5">
        <v>2013</v>
      </c>
      <c r="E67" s="4">
        <f>3</f>
        <v>3</v>
      </c>
      <c r="F67" s="4">
        <f>13</f>
        <v>13</v>
      </c>
      <c r="G67" s="4"/>
      <c r="H67" s="6">
        <f t="shared" si="4"/>
        <v>18.75</v>
      </c>
      <c r="I67" s="6"/>
      <c r="J67" s="25"/>
      <c r="L67" s="4"/>
      <c r="M67" s="4"/>
      <c r="N67" s="4"/>
      <c r="O67" s="6">
        <f t="shared" si="1"/>
      </c>
    </row>
    <row r="68" spans="1:15" ht="12.75">
      <c r="A68" t="s">
        <v>78</v>
      </c>
      <c r="B68" t="s">
        <v>19</v>
      </c>
      <c r="C68" s="4">
        <v>1</v>
      </c>
      <c r="D68" s="5">
        <v>2009</v>
      </c>
      <c r="E68" s="4">
        <f>2</f>
        <v>2</v>
      </c>
      <c r="F68" s="4">
        <f>7</f>
        <v>7</v>
      </c>
      <c r="G68" s="4"/>
      <c r="H68" s="6">
        <f t="shared" si="4"/>
        <v>22.22222222222222</v>
      </c>
      <c r="I68" s="6"/>
      <c r="J68" s="25"/>
      <c r="L68" s="4"/>
      <c r="M68" s="4"/>
      <c r="N68" s="4"/>
      <c r="O68" s="6"/>
    </row>
    <row r="69" spans="1:15" ht="12.75">
      <c r="A69" t="s">
        <v>81</v>
      </c>
      <c r="B69" t="s">
        <v>82</v>
      </c>
      <c r="C69" s="4">
        <v>1</v>
      </c>
      <c r="D69" s="5">
        <v>2010</v>
      </c>
      <c r="E69" s="4">
        <f>1</f>
        <v>1</v>
      </c>
      <c r="F69" s="4">
        <f>3</f>
        <v>3</v>
      </c>
      <c r="G69" s="4"/>
      <c r="H69" s="6">
        <f t="shared" si="4"/>
        <v>25</v>
      </c>
      <c r="I69" s="6"/>
      <c r="J69" s="25"/>
      <c r="L69" s="4"/>
      <c r="M69" s="4"/>
      <c r="N69" s="4"/>
      <c r="O69" s="6">
        <f>IF(L69+M69=0,"",L69/(M69+L69)*100)</f>
      </c>
    </row>
    <row r="70" spans="1:15" ht="12.75">
      <c r="A70" t="s">
        <v>77</v>
      </c>
      <c r="B70" t="s">
        <v>19</v>
      </c>
      <c r="C70" s="4">
        <v>1</v>
      </c>
      <c r="D70" s="5">
        <v>2009</v>
      </c>
      <c r="E70" s="4">
        <f>0</f>
        <v>0</v>
      </c>
      <c r="F70" s="4">
        <f>7</f>
        <v>7</v>
      </c>
      <c r="G70" s="4"/>
      <c r="H70" s="6">
        <f>IF(E70+F70=0,"",E70/(F70+E70)*100)</f>
        <v>0</v>
      </c>
      <c r="I70" s="6"/>
      <c r="J70" s="25"/>
      <c r="L70" s="4"/>
      <c r="M70" s="4"/>
      <c r="N70" s="4"/>
      <c r="O70" s="6">
        <f>IF(L70+M70=0,"",L70/(M70+L70)*100)</f>
      </c>
    </row>
    <row r="71" spans="4:15" ht="12.75">
      <c r="D71" s="5"/>
      <c r="E71" s="4"/>
      <c r="F71" s="4"/>
      <c r="G71" s="4"/>
      <c r="H71" s="6">
        <f>IF(E71+F71=0,"",E71/(F71+E71)*100)</f>
      </c>
      <c r="I71" s="6"/>
      <c r="J71" s="2"/>
      <c r="L71" s="4"/>
      <c r="M71" s="4"/>
      <c r="N71" s="4"/>
      <c r="O71" s="6">
        <f>IF(L71+M71=0,"",L71/(M71+L71)*100)</f>
      </c>
    </row>
    <row r="72" spans="4:15" ht="12.75">
      <c r="D72" s="5"/>
      <c r="E72" s="4"/>
      <c r="F72" s="4"/>
      <c r="G72" s="4"/>
      <c r="H72" s="6">
        <f>IF(E72+F72=0,"",E72/(F72+E72)*100)</f>
      </c>
      <c r="I72" s="6"/>
      <c r="J72" s="2"/>
      <c r="L72" s="4"/>
      <c r="M72" s="4"/>
      <c r="N72" s="4"/>
      <c r="O72" s="6">
        <f>IF(L72+M72=0,"",L72/(M72+L72)*100)</f>
      </c>
    </row>
    <row r="73" spans="4:15" ht="12.75">
      <c r="D73" s="5"/>
      <c r="E73" s="4"/>
      <c r="F73" s="4"/>
      <c r="G73" s="4"/>
      <c r="H73" s="6">
        <f>IF(E73+F73=0,"",E73/(F73+E73)*100)</f>
      </c>
      <c r="I73" s="6"/>
      <c r="J73" s="2"/>
      <c r="L73" s="4"/>
      <c r="M73" s="4"/>
      <c r="N73" s="4"/>
      <c r="O73" s="6">
        <f>IF(L73+M73=0,"",L73/(M73+L73)*100)</f>
      </c>
    </row>
    <row r="74" spans="4:15" ht="12.75">
      <c r="D74" s="5"/>
      <c r="E74" s="4"/>
      <c r="F74" s="4"/>
      <c r="G74" s="4"/>
      <c r="H74" s="6">
        <f>IF(E74+F74=0,"",E74/(F74+E74)*100)</f>
      </c>
      <c r="I74" s="6"/>
      <c r="J74" s="2"/>
      <c r="L74" s="4"/>
      <c r="M74" s="4"/>
      <c r="N74" s="4"/>
      <c r="O74" s="6"/>
    </row>
    <row r="76" spans="5:14" ht="12.75">
      <c r="E76" s="4">
        <f>SUM(E10:E75)</f>
        <v>3096</v>
      </c>
      <c r="F76" s="4">
        <f>SUM(F10:F75)</f>
        <v>3096</v>
      </c>
      <c r="G76" s="4">
        <f>SUM(G10:G75)</f>
        <v>12</v>
      </c>
      <c r="J76" s="2"/>
      <c r="L76" s="4">
        <f>SUM(L10:L75)</f>
        <v>152</v>
      </c>
      <c r="M76" s="4">
        <f>SUM(M10:M75)</f>
        <v>152</v>
      </c>
      <c r="N76" s="4"/>
    </row>
  </sheetData>
  <sheetProtection/>
  <printOptions/>
  <pageMargins left="0.75" right="0.75" top="1" bottom="1" header="0.5" footer="0.5"/>
  <pageSetup horizontalDpi="360" verticalDpi="360" orientation="portrait" r:id="rId1"/>
  <ignoredErrors>
    <ignoredError sqref="F69 M43" formula="1"/>
    <ignoredError sqref="J43:J47 J39:J40 J34:J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 Berro</cp:lastModifiedBy>
  <dcterms:created xsi:type="dcterms:W3CDTF">2005-03-29T04:30:29Z</dcterms:created>
  <dcterms:modified xsi:type="dcterms:W3CDTF">2023-07-26T23:14:36Z</dcterms:modified>
  <cp:category/>
  <cp:version/>
  <cp:contentType/>
  <cp:contentStatus/>
</cp:coreProperties>
</file>