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tandings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<sst xmlns="http://schemas.openxmlformats.org/spreadsheetml/2006/main" count="3196" uniqueCount="2109">
  <si>
    <t>Tatum Bell</t>
  </si>
  <si>
    <t>Brandon Jacobs</t>
  </si>
  <si>
    <t>Alvin Pearman</t>
  </si>
  <si>
    <t>Paul Smith</t>
  </si>
  <si>
    <t>Artose Pinner</t>
  </si>
  <si>
    <t>PHI03 PHI05</t>
  </si>
  <si>
    <t>All Punters and Kickers</t>
  </si>
  <si>
    <t>Willie Parker</t>
  </si>
  <si>
    <t>PIT02 PIT03 PIT04 PIT05</t>
  </si>
  <si>
    <t>Joe Burns</t>
  </si>
  <si>
    <t>Darren Sproles</t>
  </si>
  <si>
    <t>Marion Barber</t>
  </si>
  <si>
    <t>STL05</t>
  </si>
  <si>
    <t>STL04 STL05</t>
  </si>
  <si>
    <t>Leonard Weaver</t>
  </si>
  <si>
    <t>SD02 SD04 SD05</t>
  </si>
  <si>
    <t>SF03 SF04 SF05</t>
  </si>
  <si>
    <t>SEA03 SEA04 SEA05</t>
  </si>
  <si>
    <t>Fred McCrary</t>
  </si>
  <si>
    <t>Tyson Thompson</t>
  </si>
  <si>
    <t>TB05</t>
  </si>
  <si>
    <t>Aaron Stecker</t>
  </si>
  <si>
    <t>Tony Romo</t>
  </si>
  <si>
    <t>Ronnie Brown</t>
  </si>
  <si>
    <t>TEN05</t>
  </si>
  <si>
    <t>Ron Dayne</t>
  </si>
  <si>
    <t>Madison Hedgecock</t>
  </si>
  <si>
    <t>Michael Jenkins</t>
  </si>
  <si>
    <t>ATL04 ATL05</t>
  </si>
  <si>
    <t>Justin Peelle</t>
  </si>
  <si>
    <t>Alex Smith TE</t>
  </si>
  <si>
    <t>BAL05</t>
  </si>
  <si>
    <t>Tim Dwight</t>
  </si>
  <si>
    <t>Visanthe Shiancoe</t>
  </si>
  <si>
    <t>David Martin</t>
  </si>
  <si>
    <t>Mark Bradley</t>
  </si>
  <si>
    <t>D.J. Hackett</t>
  </si>
  <si>
    <t>NYJ04 DAL05</t>
  </si>
  <si>
    <t>Jerome Mathis</t>
  </si>
  <si>
    <t>DET05</t>
  </si>
  <si>
    <t>Zachary Hilton</t>
  </si>
  <si>
    <t>HOU03 HOU05</t>
  </si>
  <si>
    <t>Jason Dunn</t>
  </si>
  <si>
    <t>Ben Utecht</t>
  </si>
  <si>
    <t>Matt Jones</t>
  </si>
  <si>
    <t>Heath Miller</t>
  </si>
  <si>
    <t>Josh Parry</t>
  </si>
  <si>
    <t>Brandon Jones</t>
  </si>
  <si>
    <t>Roydell Williams</t>
  </si>
  <si>
    <t>Reggie Brown</t>
  </si>
  <si>
    <t>JAX04 JAX05 JAX06 JAX07 JAX08</t>
  </si>
  <si>
    <t>IND05 JAX08</t>
  </si>
  <si>
    <t>SEA04 SEA05 JAX06 JAX07 JAX08</t>
  </si>
  <si>
    <t>Michael Bush</t>
  </si>
  <si>
    <t>JAX08</t>
  </si>
  <si>
    <t>JAX07 JAX08</t>
  </si>
  <si>
    <t>Josh Cribbs</t>
  </si>
  <si>
    <t>JAX03 JAX04 JAX05 JAX06 JAX07 JAX08</t>
  </si>
  <si>
    <t>JAX05 JAX06 JAX07 JAX08</t>
  </si>
  <si>
    <t>Delanie Walker</t>
  </si>
  <si>
    <t>Jordy Nelson</t>
  </si>
  <si>
    <t>JAX06 JAX07 JAX08</t>
  </si>
  <si>
    <t>JAX05 JAX06 JAX08</t>
  </si>
  <si>
    <t>NYJ04 SEA06 JAX08</t>
  </si>
  <si>
    <t>NYJ03 NYJ04 NYG05 JAX06 JAX07 JAX08</t>
  </si>
  <si>
    <t>TEN04 TEN05 TEN06 TEN07 TEN08</t>
  </si>
  <si>
    <t>TEN07 TEN08</t>
  </si>
  <si>
    <t>TEN05 TEN06 TEN07 TEN08</t>
  </si>
  <si>
    <t>Benjarvus Green-Ellis</t>
  </si>
  <si>
    <t>TEN08</t>
  </si>
  <si>
    <t>Jamaal Charles</t>
  </si>
  <si>
    <t>Felix Jones</t>
  </si>
  <si>
    <t>TEN03 TEN04 TEN05 TEN06 TEN07 TEN08</t>
  </si>
  <si>
    <t>TEN06 TEN07 TEN08</t>
  </si>
  <si>
    <t>Kellen Winslow Jr.</t>
  </si>
  <si>
    <t>TEN06 TEN08</t>
  </si>
  <si>
    <t>HOU04 HOU06 HOU07 TEN08</t>
  </si>
  <si>
    <t>TEN03 TEN04 TEN05 TEN07 TEN08</t>
  </si>
  <si>
    <t>Jacob Ford</t>
  </si>
  <si>
    <t>Bertrand Berry</t>
  </si>
  <si>
    <t>DET03 DET04 TEN05 TEN08</t>
  </si>
  <si>
    <t>Matt Ryan</t>
  </si>
  <si>
    <t>CHI08</t>
  </si>
  <si>
    <t>CHI07 CHI08</t>
  </si>
  <si>
    <t>CHI05 CHI06 CHI07 CHI08</t>
  </si>
  <si>
    <t>CHI03 CHI04 CHI05 CHI06 CHI07 CHI08</t>
  </si>
  <si>
    <t>CHI02 CHI03 CHI04 CHI05 CHI06 CHI07 CHI08</t>
  </si>
  <si>
    <t>CHI04 CHI05 CHI06 CHI07 CHI08</t>
  </si>
  <si>
    <t>CHI05 CHI06 CHI08</t>
  </si>
  <si>
    <t>Gijon Robinson</t>
  </si>
  <si>
    <t>CHI02 CHI03 CHI05 CHI06 CHI07 CHI08</t>
  </si>
  <si>
    <t>DAL02 DAL03 DAL04 DAL05 DAL06 CHI08</t>
  </si>
  <si>
    <t>Lawrence Timmons</t>
  </si>
  <si>
    <t>CHI03 CHI05 CHI08</t>
  </si>
  <si>
    <t>SEA04 BUF06 CHI08</t>
  </si>
  <si>
    <t>CHI02 CHI03 CHI04 CHI05 CHI06 CHI08</t>
  </si>
  <si>
    <t>NYJ04 NYJ05 STL07 STL08</t>
  </si>
  <si>
    <t>Brodie Croyle</t>
  </si>
  <si>
    <t>STL08</t>
  </si>
  <si>
    <t>Kevin Smith</t>
  </si>
  <si>
    <t>STL07 STL08</t>
  </si>
  <si>
    <t>STL02 STL03 STL04 STL05 STL06 STL07 STL08</t>
  </si>
  <si>
    <t>Jason Snelling</t>
  </si>
  <si>
    <t>NYJ04 STL07 STL08</t>
  </si>
  <si>
    <t>Marion Barber III</t>
  </si>
  <si>
    <t>STL05 STL06 STL07 STL08</t>
  </si>
  <si>
    <t>Daniel Fells</t>
  </si>
  <si>
    <t>STL04 STL05 STL06 STL07 STL08</t>
  </si>
  <si>
    <t>Limas Sweed</t>
  </si>
  <si>
    <t>STL03 STL04 STL05 STL06 STL07 STL08</t>
  </si>
  <si>
    <t>STL06 STL07 STL08</t>
  </si>
  <si>
    <t>Reggie Nelson</t>
  </si>
  <si>
    <t>STL06 STL08</t>
  </si>
  <si>
    <t>Anthony Spencer</t>
  </si>
  <si>
    <t>Ernest Wilford</t>
  </si>
  <si>
    <t>Adam Bergen</t>
  </si>
  <si>
    <t>Johnathan Wells</t>
  </si>
  <si>
    <t>NE05</t>
  </si>
  <si>
    <t>Steve Heiden</t>
  </si>
  <si>
    <t>Sammy Parker</t>
  </si>
  <si>
    <t>Mark Clayton</t>
  </si>
  <si>
    <t>Gabe Reid</t>
  </si>
  <si>
    <t>Reggie Williams</t>
  </si>
  <si>
    <t>Randal Williams</t>
  </si>
  <si>
    <t>NYG03 NYG04 NYG05</t>
  </si>
  <si>
    <t>Bryan Gilmore</t>
  </si>
  <si>
    <t>Edell Shepherd</t>
  </si>
  <si>
    <t>Wes Welker</t>
  </si>
  <si>
    <t>NYJ03 NYJ05</t>
  </si>
  <si>
    <t>OAK04 OAK05</t>
  </si>
  <si>
    <t>Roddy White</t>
  </si>
  <si>
    <t>Bo Scaife</t>
  </si>
  <si>
    <t>Chris Henry</t>
  </si>
  <si>
    <t>Eric Edwards</t>
  </si>
  <si>
    <t>PIT02 PIT03 PIT05</t>
  </si>
  <si>
    <t>Ryan Hannam</t>
  </si>
  <si>
    <t>Doug Gabriel</t>
  </si>
  <si>
    <t>Drew Carter</t>
  </si>
  <si>
    <t>Devery Henderson</t>
  </si>
  <si>
    <t>Bryan Fletcher</t>
  </si>
  <si>
    <t>SF05</t>
  </si>
  <si>
    <t>Troy Williamson</t>
  </si>
  <si>
    <t>Ben Watson</t>
  </si>
  <si>
    <t>Patrick Crayton</t>
  </si>
  <si>
    <t>Ronnie Cruz</t>
  </si>
  <si>
    <t>TB04 TB05</t>
  </si>
  <si>
    <t>Scottie Vines</t>
  </si>
  <si>
    <t>Antonio Chatman</t>
  </si>
  <si>
    <t>Braylon Edwards</t>
  </si>
  <si>
    <t>Michael Gaines</t>
  </si>
  <si>
    <t>Mike Nugent</t>
  </si>
  <si>
    <t>Joe Nedney</t>
  </si>
  <si>
    <t>Maake Kemoatu</t>
  </si>
  <si>
    <t>ATL02 ATL05</t>
  </si>
  <si>
    <t>James Reed</t>
  </si>
  <si>
    <t>Michael Myers</t>
  </si>
  <si>
    <t>Shawne Merriman</t>
  </si>
  <si>
    <t>Domonique Foxworth</t>
  </si>
  <si>
    <t>JAX03 CHI05</t>
  </si>
  <si>
    <t>Lemar Marshall</t>
  </si>
  <si>
    <t>Deon Grant</t>
  </si>
  <si>
    <t>ARI02 ARI03 TB04 DAL05</t>
  </si>
  <si>
    <t>DAL03 DAL05</t>
  </si>
  <si>
    <t>Larry Tripplett</t>
  </si>
  <si>
    <t>DAL02 DAL04 DAL05</t>
  </si>
  <si>
    <t>Odell Thurman</t>
  </si>
  <si>
    <t>Patrick Surtain</t>
  </si>
  <si>
    <t>DET02 DET05</t>
  </si>
  <si>
    <t>Donnie Edwards</t>
  </si>
  <si>
    <t>Luis Castillo</t>
  </si>
  <si>
    <t>Shaun Phillips</t>
  </si>
  <si>
    <t>Brian Russell</t>
  </si>
  <si>
    <t>GB04 IND05</t>
  </si>
  <si>
    <t>Bobby Hamilton</t>
  </si>
  <si>
    <t>Nick Collins</t>
  </si>
  <si>
    <t>Derrick Burgess</t>
  </si>
  <si>
    <t>Rocky Bernard</t>
  </si>
  <si>
    <t>Chris Hovan</t>
  </si>
  <si>
    <t>Jonathan Vilma</t>
  </si>
  <si>
    <t>OAK02 OAK03 JAX05</t>
  </si>
  <si>
    <t>Montae Reagor</t>
  </si>
  <si>
    <t>MIN03 MIN05</t>
  </si>
  <si>
    <t>Donnie Spragan</t>
  </si>
  <si>
    <t>Josh Bullocks</t>
  </si>
  <si>
    <t>Kyle Vanden Bosch</t>
  </si>
  <si>
    <t>Earl Holmes</t>
  </si>
  <si>
    <t>Mike Doss</t>
  </si>
  <si>
    <t>Dewayne Robertson</t>
  </si>
  <si>
    <t>Lofa Tatupu</t>
  </si>
  <si>
    <t>Derrick Johnson</t>
  </si>
  <si>
    <t>Tommy Kelly</t>
  </si>
  <si>
    <t>Bobby McRay</t>
  </si>
  <si>
    <t>Darrent Williams</t>
  </si>
  <si>
    <t>DeMarcus Faggins</t>
  </si>
  <si>
    <t>Anthony Adams</t>
  </si>
  <si>
    <t>DaShon Polk</t>
  </si>
  <si>
    <t>DAL03 NYJ05</t>
  </si>
  <si>
    <t>Dexter Jackson</t>
  </si>
  <si>
    <t>Rob Meier</t>
  </si>
  <si>
    <t>ATL02 ATL03 OAK05</t>
  </si>
  <si>
    <t>Antwan Lake</t>
  </si>
  <si>
    <t>Jordan Carstens</t>
  </si>
  <si>
    <t>Brandon Moore</t>
  </si>
  <si>
    <t>Chris Johnson</t>
  </si>
  <si>
    <t>STL02 STL03 STL05</t>
  </si>
  <si>
    <t>Travis LaBoy</t>
  </si>
  <si>
    <t>Bradie James</t>
  </si>
  <si>
    <t>STL03 STL05</t>
  </si>
  <si>
    <t>Shantee Orr</t>
  </si>
  <si>
    <t>Rashean Mathis</t>
  </si>
  <si>
    <t>SD03 SD05</t>
  </si>
  <si>
    <t>Vince Wilfork</t>
  </si>
  <si>
    <t>SD02 SD05</t>
  </si>
  <si>
    <t>Leroy Hill</t>
  </si>
  <si>
    <t>Karl Paymah</t>
  </si>
  <si>
    <t>Paul Spicer</t>
  </si>
  <si>
    <t>Brady Poppinga</t>
  </si>
  <si>
    <t>Carlos Rogers</t>
  </si>
  <si>
    <t>Allen Rossum</t>
  </si>
  <si>
    <t>Jared Allen</t>
  </si>
  <si>
    <t>Ed Jasper</t>
  </si>
  <si>
    <t>Brett Keisel</t>
  </si>
  <si>
    <t>Ryan Pickett</t>
  </si>
  <si>
    <t>DeMarcus Ware</t>
  </si>
  <si>
    <t>Angelo Crowell</t>
  </si>
  <si>
    <t>DAL02 TB05</t>
  </si>
  <si>
    <t>Nick Ferguson</t>
  </si>
  <si>
    <t>Ahmad Carroll</t>
  </si>
  <si>
    <t>Will Smith</t>
  </si>
  <si>
    <t>Brandon Short</t>
  </si>
  <si>
    <t>Mark Brown</t>
  </si>
  <si>
    <t>TEN03 TEN05</t>
  </si>
  <si>
    <t>Dexter Wynn</t>
  </si>
  <si>
    <t>2004 2005 2006</t>
  </si>
  <si>
    <t>2003 2004 2005 2006</t>
  </si>
  <si>
    <t>Buffalo Bills</t>
  </si>
  <si>
    <t>Bob</t>
  </si>
  <si>
    <t>NO / New York Jets</t>
  </si>
  <si>
    <t>NYJ / Seattle Seahawks</t>
  </si>
  <si>
    <t>ATL05 ATL06</t>
  </si>
  <si>
    <t>Aveion Cason</t>
  </si>
  <si>
    <t>ATL06</t>
  </si>
  <si>
    <t>Robbie Gould</t>
  </si>
  <si>
    <t>Chauncey Davis</t>
  </si>
  <si>
    <t>Darnell Dockett</t>
  </si>
  <si>
    <t>OAK03 OAK04 BAL05 BAL06</t>
  </si>
  <si>
    <t>OAK04 BAL05 BAL06</t>
  </si>
  <si>
    <t>BAL03 BAL04 BAL05 BAL06</t>
  </si>
  <si>
    <t>BAL05 BAL06</t>
  </si>
  <si>
    <t>Rashied Davis</t>
  </si>
  <si>
    <t>BAL06</t>
  </si>
  <si>
    <t>WAS03 WAS04 GB05 BAL06</t>
  </si>
  <si>
    <t>Simon Fraser</t>
  </si>
  <si>
    <t>Jay Cutler</t>
  </si>
  <si>
    <t>BUF06</t>
  </si>
  <si>
    <t>JAX03 JAX04 JAX05 BUF06</t>
  </si>
  <si>
    <t>Arlen Harris</t>
  </si>
  <si>
    <t>Oliver Hoyte</t>
  </si>
  <si>
    <t>Seneca Wallace</t>
  </si>
  <si>
    <t>SEA08</t>
  </si>
  <si>
    <t>GB05 GB07 SEA08</t>
  </si>
  <si>
    <t>SEA07 SEA08</t>
  </si>
  <si>
    <t>Montell Owens</t>
  </si>
  <si>
    <t>SEA03 NYJ04 NYJ05 SEA06 SEA07 SEA08</t>
  </si>
  <si>
    <t>GB07 SEA08</t>
  </si>
  <si>
    <t>Dustin Keller</t>
  </si>
  <si>
    <t>Martellus Bennett</t>
  </si>
  <si>
    <t>NYJ04 SEA07 SEA08</t>
  </si>
  <si>
    <t>PHI03 PHI04 PHI05 PHI06 PHI07 SEA08</t>
  </si>
  <si>
    <t>IND05 IND06 SEA08</t>
  </si>
  <si>
    <t>BAL03 BAL04 BAL05 BAL06 SEA08</t>
  </si>
  <si>
    <t>Paul Posluszny</t>
  </si>
  <si>
    <t>TB04 TB05 TB06 TB07 SEA08</t>
  </si>
  <si>
    <t>NO05 SEA08</t>
  </si>
  <si>
    <t>Travis Kirschke</t>
  </si>
  <si>
    <t>BAL03 BAL04 NYJ05 SEA08</t>
  </si>
  <si>
    <t>JAX03 NO05 NYJ06 NYJ07 NYJ08</t>
  </si>
  <si>
    <t>JaMarcus Russell</t>
  </si>
  <si>
    <t>NYJ08</t>
  </si>
  <si>
    <t>NYJ06 NYJ07 NYJ08</t>
  </si>
  <si>
    <t>Steve Slaton</t>
  </si>
  <si>
    <t>NYJ07 NYJ08</t>
  </si>
  <si>
    <t>NO05 NYJ06 NYJ07 NYJ08</t>
  </si>
  <si>
    <t>NO03 NO04 NO05 NYJ06 NYJ07 NYJ08</t>
  </si>
  <si>
    <t>Korey Hall</t>
  </si>
  <si>
    <t>Jason Hill</t>
  </si>
  <si>
    <t>Chad Greenway</t>
  </si>
  <si>
    <t>Matt Roth</t>
  </si>
  <si>
    <t>Antonio Smith</t>
  </si>
  <si>
    <t>CHI04 NYJ08</t>
  </si>
  <si>
    <t>SF04 NYJ06 NYJ08</t>
  </si>
  <si>
    <t>Derrick Harvey</t>
  </si>
  <si>
    <t>NE06 NE07 NE08</t>
  </si>
  <si>
    <t>NE03 NE04 NE05 NE06 NE07 NE08</t>
  </si>
  <si>
    <t>NE06 NE08</t>
  </si>
  <si>
    <t>NE03 NE04 NE05 NE07 NE08</t>
  </si>
  <si>
    <t>NE04 NE07 NE08</t>
  </si>
  <si>
    <t>NE08</t>
  </si>
  <si>
    <t>DeSean Jackson</t>
  </si>
  <si>
    <t>NE07 NE08</t>
  </si>
  <si>
    <t>NO04 NO05 NYJ06 NE08</t>
  </si>
  <si>
    <t>NE03 NE04 NE05 NE06 NE08</t>
  </si>
  <si>
    <t>Sydney Rice</t>
  </si>
  <si>
    <t>NE04 NE05 NE08</t>
  </si>
  <si>
    <t>Aaron Ross</t>
  </si>
  <si>
    <t>Mathias Kiwanuka</t>
  </si>
  <si>
    <t>NE05 NE06 NE07 NE08</t>
  </si>
  <si>
    <t>Trent Edwards</t>
  </si>
  <si>
    <t>SD08</t>
  </si>
  <si>
    <t>SD02 SD03 SD04 SD05 SD06 SD07 SD08</t>
  </si>
  <si>
    <t>Ray Rice</t>
  </si>
  <si>
    <t>SD05 SD08</t>
  </si>
  <si>
    <t>SD04 SD05 SD08</t>
  </si>
  <si>
    <t>SD05 SD06 SD07 SD08</t>
  </si>
  <si>
    <t>SD03 SD04 SD05 SD06 SD07 SD08</t>
  </si>
  <si>
    <t>SD07 SD08</t>
  </si>
  <si>
    <t>SD06 SD07 SD08</t>
  </si>
  <si>
    <t>SD05 SD07 SD08</t>
  </si>
  <si>
    <t>Terrence McGee</t>
  </si>
  <si>
    <t>SD02 SD03 SD06 SD08</t>
  </si>
  <si>
    <t>SD02 SD03 SD04 SD05 SD08</t>
  </si>
  <si>
    <t>SEA03 SEA04 SEA05 BUF06</t>
  </si>
  <si>
    <t>ARI02 ARI03 SEA05 BUF06</t>
  </si>
  <si>
    <t>Ryan Longwell</t>
  </si>
  <si>
    <t>Jason Hanson</t>
  </si>
  <si>
    <t>Jeff Reed</t>
  </si>
  <si>
    <t>Josh Brown</t>
  </si>
  <si>
    <t>Kris Brown</t>
  </si>
  <si>
    <t>Nate Kaeding</t>
  </si>
  <si>
    <t>Shayne Graham</t>
  </si>
  <si>
    <t>Josh Scobee</t>
  </si>
  <si>
    <t>Tim Johnson</t>
  </si>
  <si>
    <t>Manny Lawson</t>
  </si>
  <si>
    <t>Keith Lewis</t>
  </si>
  <si>
    <t>Bobby Carpenter</t>
  </si>
  <si>
    <t>Thomas Davis</t>
  </si>
  <si>
    <t>CHI06</t>
  </si>
  <si>
    <t>A.J. Hawk</t>
  </si>
  <si>
    <t>Michael Huff</t>
  </si>
  <si>
    <t>CHI02 CHI03 CHI06</t>
  </si>
  <si>
    <t>DAL02 DAL03 DAL04 DAL05 DAL06</t>
  </si>
  <si>
    <t>Kellen Clemens</t>
  </si>
  <si>
    <t>DAL06</t>
  </si>
  <si>
    <t>ReShard Lee</t>
  </si>
  <si>
    <t>DAL02 DAL05 DAL06</t>
  </si>
  <si>
    <t>Tony Scheffler</t>
  </si>
  <si>
    <t>DAL05 DAL06</t>
  </si>
  <si>
    <t>Sean Considine</t>
  </si>
  <si>
    <t>D'Qwell Jackson</t>
  </si>
  <si>
    <t>Corey Williams</t>
  </si>
  <si>
    <t>Landon Johnson</t>
  </si>
  <si>
    <t>Mark Anderson</t>
  </si>
  <si>
    <t>Craig Terrill</t>
  </si>
  <si>
    <t>DET02 DET03 DET04 DET05 DET06</t>
  </si>
  <si>
    <t>DET06</t>
  </si>
  <si>
    <t>DET02 DET04 DET05 DET06</t>
  </si>
  <si>
    <t>Earnest Graham</t>
  </si>
  <si>
    <t>Victor Hobson</t>
  </si>
  <si>
    <t>Dre Bly</t>
  </si>
  <si>
    <t>Vinnie Holliday</t>
  </si>
  <si>
    <t>Danieal Manning</t>
  </si>
  <si>
    <t>DET03 DET05 DET06</t>
  </si>
  <si>
    <t>Kendrick Clancy</t>
  </si>
  <si>
    <t>WAS03 WAS04 GB05 GB06</t>
  </si>
  <si>
    <t>Bruce Gradkowski</t>
  </si>
  <si>
    <t>GB06</t>
  </si>
  <si>
    <t>Reggie Bush</t>
  </si>
  <si>
    <t>DeAngelo Williams</t>
  </si>
  <si>
    <t>Jason Wright</t>
  </si>
  <si>
    <t>Mike Furrey</t>
  </si>
  <si>
    <t>Anthony Fasano</t>
  </si>
  <si>
    <t>Sean McHugh</t>
  </si>
  <si>
    <t>David Kircus</t>
  </si>
  <si>
    <t>HOU02 HOU03 HOU04 HOU05 HOU06</t>
  </si>
  <si>
    <t>HOU04 HOU05 HOU06</t>
  </si>
  <si>
    <t>ARI02 HOU04 HOU05 HOU06</t>
  </si>
  <si>
    <t>Greg Jennings</t>
  </si>
  <si>
    <t>Lawrence Vickers</t>
  </si>
  <si>
    <t>HOU05 HOU06</t>
  </si>
  <si>
    <t>Ernie Sims</t>
  </si>
  <si>
    <t>GB04 HOU06</t>
  </si>
  <si>
    <t>Mike Patterson</t>
  </si>
  <si>
    <t>GB03 GB04 IND05 IND06</t>
  </si>
  <si>
    <t>Jason Campbell</t>
  </si>
  <si>
    <t>IND06</t>
  </si>
  <si>
    <t>Wali Lundy</t>
  </si>
  <si>
    <t>Ovie Mughelli</t>
  </si>
  <si>
    <t>Demetrius Williams</t>
  </si>
  <si>
    <t>Brandon Chillar</t>
  </si>
  <si>
    <t>Karlos Dansby</t>
  </si>
  <si>
    <t>Robert Mathis</t>
  </si>
  <si>
    <t>JAX04 JAX05 JAX06</t>
  </si>
  <si>
    <t>NYG03 NYG05 JAX06</t>
  </si>
  <si>
    <t>JAX05 JAX06</t>
  </si>
  <si>
    <t>Stephen Gostkowski</t>
  </si>
  <si>
    <t>CHI03 JAX04 JAX05 JAX06</t>
  </si>
  <si>
    <t>Matt Leinart</t>
  </si>
  <si>
    <t>NYG02 NYG03 NYG04 NYG05 KC06</t>
  </si>
  <si>
    <t>Marques Colston</t>
  </si>
  <si>
    <t>NO03 NO04 MIN05 MIN06</t>
  </si>
  <si>
    <t>Joseph Addai</t>
  </si>
  <si>
    <t>WAS03 WAS04 MIN05 MIN06</t>
  </si>
  <si>
    <t>MIN05 MIN06</t>
  </si>
  <si>
    <t>WAS03 WAS04 GB05 MIN06</t>
  </si>
  <si>
    <t>Robert Royal</t>
  </si>
  <si>
    <t>Hank Baskett</t>
  </si>
  <si>
    <t>Hollis Thomas</t>
  </si>
  <si>
    <t>MIN03 MIN06</t>
  </si>
  <si>
    <t>Philip Rivers</t>
  </si>
  <si>
    <t>NE06</t>
  </si>
  <si>
    <t>NE03 NE04 NE05 NE06</t>
  </si>
  <si>
    <t>Maurice Jones-Drew</t>
  </si>
  <si>
    <t>Samie Parker</t>
  </si>
  <si>
    <t>NE04 NE05 NE06</t>
  </si>
  <si>
    <t>NYG05 NYG06</t>
  </si>
  <si>
    <t>NO05 NYG06</t>
  </si>
  <si>
    <t>NO03 NO04 NO05 NYG06</t>
  </si>
  <si>
    <t>Vernand Morency</t>
  </si>
  <si>
    <t>NYG06</t>
  </si>
  <si>
    <t>NYG02 NYG03 NYG04 NYG05 NYG06</t>
  </si>
  <si>
    <t>NYG04 NYG05 NYG06</t>
  </si>
  <si>
    <t>Vince Young</t>
  </si>
  <si>
    <t>NYJ06</t>
  </si>
  <si>
    <t>LenDale White</t>
  </si>
  <si>
    <t>NO05 NYJ06</t>
  </si>
  <si>
    <t>Marcedes Lewis</t>
  </si>
  <si>
    <t>O.J. Atogwe</t>
  </si>
  <si>
    <t>Charles Tillman</t>
  </si>
  <si>
    <t>NO03 NYJ06</t>
  </si>
  <si>
    <t>Darrion Scott</t>
  </si>
  <si>
    <t>NO03 NO04 NYJ06</t>
  </si>
  <si>
    <t>Laurence Maroney</t>
  </si>
  <si>
    <t>GB03 OAK06</t>
  </si>
  <si>
    <t>SF03 SF04 SF05 OAK06</t>
  </si>
  <si>
    <t>Ronald Fields</t>
  </si>
  <si>
    <t>PHI03 PHI04 PHI05 PHI06</t>
  </si>
  <si>
    <t>PHI05 PHI06</t>
  </si>
  <si>
    <t>PHI04 PHI05 PHI06</t>
  </si>
  <si>
    <t>SF04 SF05 SF06 SF07 SF08</t>
  </si>
  <si>
    <t>ATL03 KC06 SF07 SF08</t>
  </si>
  <si>
    <t>CHI02 CHI03 CHI04 CHI05 CHI06 SF07 SF08</t>
  </si>
  <si>
    <t>SF03 SF04 SF05 SF06 SF07 SF08</t>
  </si>
  <si>
    <t>KC05 SF08</t>
  </si>
  <si>
    <t>SF02 SF03 SF06 SF07 SF08</t>
  </si>
  <si>
    <t>SF02 SF03 SF04 SF05 SF06 SF08</t>
  </si>
  <si>
    <t>SF06 SF07 SF08</t>
  </si>
  <si>
    <t>SF02 SF03 SF04 SF05 SF06 SF07 SF08</t>
  </si>
  <si>
    <t>Steve Breaston</t>
  </si>
  <si>
    <t>SF08</t>
  </si>
  <si>
    <t>SF02 SF06 SF07 SF08</t>
  </si>
  <si>
    <t>Daniel Coats</t>
  </si>
  <si>
    <t>Tory Humphrey</t>
  </si>
  <si>
    <t>SF02 SF03 SF07 SF08</t>
  </si>
  <si>
    <t>Justin Bannan</t>
  </si>
  <si>
    <t>Trevor Scott</t>
  </si>
  <si>
    <t>Jimmy Wilkerson</t>
  </si>
  <si>
    <t>PHI06</t>
  </si>
  <si>
    <t>PHI03 PHI05 PHI06</t>
  </si>
  <si>
    <t>Vincent Jackson</t>
  </si>
  <si>
    <t>PHI03 PHI04 PHI06</t>
  </si>
  <si>
    <t>Artrell Hawkins</t>
  </si>
  <si>
    <t>Ryan Denney</t>
  </si>
  <si>
    <t>SD02 SD03 SD04 SD05 PIT06</t>
  </si>
  <si>
    <t>PIT06</t>
  </si>
  <si>
    <t>Santonio Holmes</t>
  </si>
  <si>
    <t>David Thomas</t>
  </si>
  <si>
    <t>PIT02 PIT05 PIT06</t>
  </si>
  <si>
    <t>ARI02 TB04 TB05 PIT06</t>
  </si>
  <si>
    <t>CHI04 PIT05 PIT06</t>
  </si>
  <si>
    <t>Elvis Dumervil</t>
  </si>
  <si>
    <t>SD03 SD04 SD06</t>
  </si>
  <si>
    <t>Leon Washington</t>
  </si>
  <si>
    <t>SD06</t>
  </si>
  <si>
    <t>SD04 SD05 SD06</t>
  </si>
  <si>
    <t>SD03 SD06</t>
  </si>
  <si>
    <t>Rian Lindell</t>
  </si>
  <si>
    <t>Antoine Winfield</t>
  </si>
  <si>
    <t>Eric Barton</t>
  </si>
  <si>
    <t>Robert Geathers</t>
  </si>
  <si>
    <t>Derek Anderson</t>
  </si>
  <si>
    <t>NYG02 NYG03 NYG04 NYJ05 SEA06</t>
  </si>
  <si>
    <t>SD02 SD03 SD04 SD05 SEA06</t>
  </si>
  <si>
    <t>Owen Daniels</t>
  </si>
  <si>
    <t>NYG02 NYG03 NYG04 NYG05 SEA06</t>
  </si>
  <si>
    <t>DAL02 DAL03 NYJ05 SEA06</t>
  </si>
  <si>
    <t>SF04 SF05 SF06</t>
  </si>
  <si>
    <t>Cleo Lemon</t>
  </si>
  <si>
    <t>Vonta Leach</t>
  </si>
  <si>
    <t>SF03 SF06</t>
  </si>
  <si>
    <t>Kirk Morrison</t>
  </si>
  <si>
    <t>TB04 TB05 SF06</t>
  </si>
  <si>
    <t>SF03 SF04 SF06</t>
  </si>
  <si>
    <t>STL02 STL03 STL04 STL05 STL06</t>
  </si>
  <si>
    <t>NYJ03 NYJ04 STL05 STL06</t>
  </si>
  <si>
    <t>Joe Klopfenstein</t>
  </si>
  <si>
    <t>STL06</t>
  </si>
  <si>
    <t>Tab Perry</t>
  </si>
  <si>
    <t>Anthony Smith</t>
  </si>
  <si>
    <t>Jonathan Babineaux</t>
  </si>
  <si>
    <t>Albert Haynesworth</t>
  </si>
  <si>
    <t>Chris Canty</t>
  </si>
  <si>
    <t>Kamerion Wimbley</t>
  </si>
  <si>
    <t>TB06</t>
  </si>
  <si>
    <t>Mike Bell</t>
  </si>
  <si>
    <t>ARI02 ARI03 TB04 TB05 TB06</t>
  </si>
  <si>
    <t>NYJ03 NYJ04 TB06</t>
  </si>
  <si>
    <t>Nate Washington</t>
  </si>
  <si>
    <t>Vernon Davis</t>
  </si>
  <si>
    <t>NYJ03 NYJ04 TB05 TB06</t>
  </si>
  <si>
    <t>Stanford Routt</t>
  </si>
  <si>
    <t>TEN03 TEN04 TEN05 TEN06</t>
  </si>
  <si>
    <t>TEN04 TEN05 TEN06</t>
  </si>
  <si>
    <t>TEN03 TEN06</t>
  </si>
  <si>
    <t>TEN06</t>
  </si>
  <si>
    <t>Ahmard Hall</t>
  </si>
  <si>
    <t>TEN03 TEN04 TEN06</t>
  </si>
  <si>
    <t>Edgerton Hartwell</t>
  </si>
  <si>
    <t>Warrick Holdman</t>
  </si>
  <si>
    <t>Yeremiah Bell</t>
  </si>
  <si>
    <t>Ty Warren</t>
  </si>
  <si>
    <t>Marcus Bell</t>
  </si>
  <si>
    <t>Bernard Pollard</t>
  </si>
  <si>
    <t>2004 2005 2006 2007</t>
  </si>
  <si>
    <t>2005 2006 2007</t>
  </si>
  <si>
    <t>Ronald D.</t>
  </si>
  <si>
    <t>Dale</t>
  </si>
  <si>
    <t>Kendall</t>
  </si>
  <si>
    <t>ATL02 ATL03 ATL04 ATL05 ATL06 ATL07</t>
  </si>
  <si>
    <t>Damon Huard</t>
  </si>
  <si>
    <t>ATL07</t>
  </si>
  <si>
    <t>ATL05 ATL06 ATL07</t>
  </si>
  <si>
    <t>Marshawn Lynch</t>
  </si>
  <si>
    <t>ATL03 ATL04 ATL05 ATL06 ATL07</t>
  </si>
  <si>
    <t>Kevin Boss</t>
  </si>
  <si>
    <t>Justin Gage</t>
  </si>
  <si>
    <t>ATL03 ATL05 ATL06 ATL07</t>
  </si>
  <si>
    <t>ATL04 ATL06 ATL07</t>
  </si>
  <si>
    <t>Scott Shanle</t>
  </si>
  <si>
    <t>Chris McAlister</t>
  </si>
  <si>
    <t>BAL03 ATL06 ATL07</t>
  </si>
  <si>
    <t>Tamba Hali</t>
  </si>
  <si>
    <t>Chris Redman</t>
  </si>
  <si>
    <t>BAL07</t>
  </si>
  <si>
    <t>Brian Leonard</t>
  </si>
  <si>
    <t>Dan Orlovsky</t>
  </si>
  <si>
    <t>BAL08</t>
  </si>
  <si>
    <t>Tarvaris Jackson</t>
  </si>
  <si>
    <t>WAS03 WAS04 BAL06 BAL07 BAL08</t>
  </si>
  <si>
    <t>BAL04 BAL05 BAL06 BAL07 BAL08</t>
  </si>
  <si>
    <t>BAL03 BAL04 BAL05 BAL06 BAL08</t>
  </si>
  <si>
    <t>BAL05 BAL08</t>
  </si>
  <si>
    <t>BAL03 BAL04 BAL05 BAL06 BAL07 BAL08</t>
  </si>
  <si>
    <t>WAS03 WAS04 BAL07 BAL08</t>
  </si>
  <si>
    <t>BAL07 BAL08</t>
  </si>
  <si>
    <t>BAL03 BAL04 BAL05 BAL08</t>
  </si>
  <si>
    <t>BAL06 BAL07 BAL08</t>
  </si>
  <si>
    <t>BAL05 BAL06 BAL07 BAL08</t>
  </si>
  <si>
    <t>BAL03 BAL05 BAL06 BAL08</t>
  </si>
  <si>
    <t>BAL04 BAL05 BAL07 BAL08</t>
  </si>
  <si>
    <t>JAX05 BAL08</t>
  </si>
  <si>
    <t>Sedrick Ellis</t>
  </si>
  <si>
    <t>Glenn Dorsey</t>
  </si>
  <si>
    <t>DAL02 DAL03 DAL04 DAL05 DAL06 DAL07 DAL08</t>
  </si>
  <si>
    <t>DAL06 DAL08</t>
  </si>
  <si>
    <t>DAL07 DAL08</t>
  </si>
  <si>
    <t>Peyton Hillis</t>
  </si>
  <si>
    <t>DAL08</t>
  </si>
  <si>
    <t>DAL03 DAL04 DAL05 DAL06 DAL07 DAL08</t>
  </si>
  <si>
    <t>ALL02 ALL04 ALL05 ALL07 ALL08</t>
  </si>
  <si>
    <t>DAL06 DAL07 DAL08</t>
  </si>
  <si>
    <t>DAL02 DAL03 DAL05 DAL06 DAL07 DAL08</t>
  </si>
  <si>
    <t>DAL03 DAL04 DAL05 DAL06 DAL08</t>
  </si>
  <si>
    <t>ARI03 NYJ05 DAL06 DAL08</t>
  </si>
  <si>
    <t>PHI04 PHI05 PHI06 PHI07 DAL08</t>
  </si>
  <si>
    <t>DAL03 DAL05 DAL06 DAL07 DAL08</t>
  </si>
  <si>
    <t>SD04 DAL07 DAL08</t>
  </si>
  <si>
    <t>Kedric Golston</t>
  </si>
  <si>
    <t>NYG05 DAL08</t>
  </si>
  <si>
    <t>Israel Idonije</t>
  </si>
  <si>
    <t>Dwayne Bowe</t>
  </si>
  <si>
    <t>BAL05 BAL06 BAL07</t>
  </si>
  <si>
    <t>BAL04 DET06 BAL07</t>
  </si>
  <si>
    <t>BAL03 BAL04 BAL06 BAL07</t>
  </si>
  <si>
    <t>Rocky Boiman</t>
  </si>
  <si>
    <t>Kerry Rhodes</t>
  </si>
  <si>
    <t>Turk McBride</t>
  </si>
  <si>
    <t>Ed Johnson</t>
  </si>
  <si>
    <t>SF03 BAL06 BAL07</t>
  </si>
  <si>
    <t>BUF06 BUF07</t>
  </si>
  <si>
    <t>NO03 NO04 MIN05 MIN06 BUF07</t>
  </si>
  <si>
    <t>Adrian Peterson CHI</t>
  </si>
  <si>
    <t>Adrian Peterson MIN</t>
  </si>
  <si>
    <t>BUF07</t>
  </si>
  <si>
    <t>JAX03 JAX04 JAX05 BUF06 BUF07</t>
  </si>
  <si>
    <t>DeDe Dorsey</t>
  </si>
  <si>
    <t>SEA05 BUF06 BUF07</t>
  </si>
  <si>
    <t>DeShawn Wynn</t>
  </si>
  <si>
    <t>Patrick Willis</t>
  </si>
  <si>
    <t>James Harrison</t>
  </si>
  <si>
    <t>Dunta Robinson</t>
  </si>
  <si>
    <t>SEA05 BUF07</t>
  </si>
  <si>
    <t>Dwan Edwards</t>
  </si>
  <si>
    <t>CHI04 CHI06 CHI07</t>
  </si>
  <si>
    <t>PIT04 PIT05 CHI07</t>
  </si>
  <si>
    <t>CHI05 CHI06 CHI07</t>
  </si>
  <si>
    <t>Jerome Harrison</t>
  </si>
  <si>
    <t>CHI07</t>
  </si>
  <si>
    <t>Ahmad Bradshaw</t>
  </si>
  <si>
    <t>Le'Ron McClain</t>
  </si>
  <si>
    <t>Lance Moore</t>
  </si>
  <si>
    <t>Gerald Hayes</t>
  </si>
  <si>
    <t>DAL05 CHI07</t>
  </si>
  <si>
    <t>Barry Cofield</t>
  </si>
  <si>
    <t>Gaines Adams</t>
  </si>
  <si>
    <t>DAL02 DAL03 DAL04 DAL05 DAL06 DAL07</t>
  </si>
  <si>
    <t>Fred Jackson</t>
  </si>
  <si>
    <t>DAL07</t>
  </si>
  <si>
    <t>Pierre Thomas</t>
  </si>
  <si>
    <t>DAL04 DAL05 DAL06 DAL07</t>
  </si>
  <si>
    <t>DAL04 DAL06 DAL07</t>
  </si>
  <si>
    <t>DAL06 DAL07</t>
  </si>
  <si>
    <t>Laurent Robinson</t>
  </si>
  <si>
    <t>Greg Camarillo</t>
  </si>
  <si>
    <t>Rob Bironas</t>
  </si>
  <si>
    <t>LaMarr Woodley</t>
  </si>
  <si>
    <t>NE03 NYJ04 NYJ05 DAL06 DAL07</t>
  </si>
  <si>
    <t>Clinton Hart</t>
  </si>
  <si>
    <t>Domata Peko</t>
  </si>
  <si>
    <t>TB04 DAL06 DAL07</t>
  </si>
  <si>
    <t>Chinedum Ndukwe</t>
  </si>
  <si>
    <t>DET06 DET07</t>
  </si>
  <si>
    <t>Kyle Eckel</t>
  </si>
  <si>
    <t>DET07</t>
  </si>
  <si>
    <t>DET02 DET03 DET04 DET05 DET06 DET07</t>
  </si>
  <si>
    <t>Casey Fitzsimmons</t>
  </si>
  <si>
    <t>Jacoby Jones</t>
  </si>
  <si>
    <t>Ryan Fowler</t>
  </si>
  <si>
    <t>NYJ03 NYJ04 NYJ05 DET06 DET07</t>
  </si>
  <si>
    <t>ATL02 ATL03 ATL04 ATL05 ATL06 ATL07 ATL08</t>
  </si>
  <si>
    <t>ATL07 ATL08</t>
  </si>
  <si>
    <t>ATL05 ATL06 ATL07 ATL08</t>
  </si>
  <si>
    <t>John Carlson</t>
  </si>
  <si>
    <t>ATL08</t>
  </si>
  <si>
    <t>NYJ05 ATL06 ATL07 ATL08</t>
  </si>
  <si>
    <t>ATL06 ATL07 ATL08</t>
  </si>
  <si>
    <t>London Fletcher</t>
  </si>
  <si>
    <t>ATL02 ATL03 ATL05 ATL06 ATL07 ATL08</t>
  </si>
  <si>
    <t>ATL04 ATL08</t>
  </si>
  <si>
    <t>HOU03 HOU04 HOU05 HOU07 ATL08</t>
  </si>
  <si>
    <t>ATL03 ATL04 ATL07 ATL08</t>
  </si>
  <si>
    <t>DET03 DET07</t>
  </si>
  <si>
    <t>DET02 DET03 DET04 DET06 DET07</t>
  </si>
  <si>
    <t>Adam Carriker</t>
  </si>
  <si>
    <t>GB06 GB07</t>
  </si>
  <si>
    <t>WAS04 GB05 GB07</t>
  </si>
  <si>
    <t>WAS04 GB05 GB06 GB07</t>
  </si>
  <si>
    <t>GB07</t>
  </si>
  <si>
    <t>BAL05 GB07</t>
  </si>
  <si>
    <t>GB05 GB06 GB07</t>
  </si>
  <si>
    <t>SEA04 GB06 GB07</t>
  </si>
  <si>
    <t>Antoine Bethea</t>
  </si>
  <si>
    <t>Deke Cooper</t>
  </si>
  <si>
    <t>Andre Hall</t>
  </si>
  <si>
    <t>HOU07</t>
  </si>
  <si>
    <t>Brandon Marshall</t>
  </si>
  <si>
    <t>HOU02 HOU03 HOU04 HOU05 HOU07</t>
  </si>
  <si>
    <t>HOU02 HOU05 HOU07</t>
  </si>
  <si>
    <t>HOU04 HOU07</t>
  </si>
  <si>
    <t>Matt Wilhelm</t>
  </si>
  <si>
    <t>Trent Cole</t>
  </si>
  <si>
    <t>Jovan Haye</t>
  </si>
  <si>
    <t>JAX04 JAX05 JAX06 JAX07</t>
  </si>
  <si>
    <t>ARI02 ARI03 TB04 JAX05 JAX07</t>
  </si>
  <si>
    <t>HOU03 HOU04 HOU05 HOU06 HOU07 HOU08</t>
  </si>
  <si>
    <t>Jonathan Stewart</t>
  </si>
  <si>
    <t>HOU08</t>
  </si>
  <si>
    <t>HOU02 HOU03 HOU04 HOU05 HOU06 HOU07 HOU08</t>
  </si>
  <si>
    <t>HOU04 HOU05 HOU06 HOU07 HOU08</t>
  </si>
  <si>
    <t>Tim Hightower</t>
  </si>
  <si>
    <t>Jacob Hester</t>
  </si>
  <si>
    <t>HOU02 HOU03 HOU05 HOU06 HOU07 HOU08</t>
  </si>
  <si>
    <t>Mike Tolbert</t>
  </si>
  <si>
    <t>HOU06 HOU07 HOU08</t>
  </si>
  <si>
    <t>HOU07 HOU08</t>
  </si>
  <si>
    <t>HOU06 HOU08</t>
  </si>
  <si>
    <t>HOU05 HOU06 HOU07 HOU08</t>
  </si>
  <si>
    <t>HOU02 HOU03 HOU04 HOU08</t>
  </si>
  <si>
    <t>Phillip Buchanon</t>
  </si>
  <si>
    <t>HOU02 HOU04 HOU05 HOU06 HOU08</t>
  </si>
  <si>
    <t>BAL03 BAL04 BAL05 NYG07 NYG08</t>
  </si>
  <si>
    <t>NYG02 NYG03 NYG04 NYG06 NYG07 NYG08</t>
  </si>
  <si>
    <t>ALL02 ALL03 ALL04 ALL05 ALL06 ALL07 ALL08</t>
  </si>
  <si>
    <t>NYG05 NYG06 NYG07 NYG08</t>
  </si>
  <si>
    <t>Tashard Choice</t>
  </si>
  <si>
    <t>NYG08</t>
  </si>
  <si>
    <t>JAX05 NYG08</t>
  </si>
  <si>
    <t>Lousaka Polite</t>
  </si>
  <si>
    <t>JAX03 JAX04 JAX05 NYG06 NYG07 NYG08</t>
  </si>
  <si>
    <t>NYG06 NYG07 NYG08</t>
  </si>
  <si>
    <t>NYG02 NYG03 NYG04 NYG05 NYG06 NYG07 NYG08</t>
  </si>
  <si>
    <t>NYG07 NYG08</t>
  </si>
  <si>
    <t>Patrick Cobbs</t>
  </si>
  <si>
    <t>Greg Estandia</t>
  </si>
  <si>
    <t>NYG02 NYG04 NYG05 NYG07 NYG08</t>
  </si>
  <si>
    <t>NYG02 NYG03 NYG04 NYG05 NYG06 NYG08</t>
  </si>
  <si>
    <t>NYG02 NYG03 NYG08</t>
  </si>
  <si>
    <t>Chase Blackburn</t>
  </si>
  <si>
    <t>NYJ03 NYJ04 NYG05 NYG06 NYG07 NYG08</t>
  </si>
  <si>
    <t>Donte Whitner</t>
  </si>
  <si>
    <t>TB06 TB07 TB08</t>
  </si>
  <si>
    <t>HOU03 HOU04 TB05 TB08</t>
  </si>
  <si>
    <t>ARI02 ARI03 TB04 TB05 TB06 TB07 TB08</t>
  </si>
  <si>
    <t>DAL02 DAL03 DAL04 DAL05 TB07 TB08</t>
  </si>
  <si>
    <t>TB05 TB06 TB07 TB08</t>
  </si>
  <si>
    <t>OAK05 OAK06 OAK07 TB08</t>
  </si>
  <si>
    <t>TB06 TB08</t>
  </si>
  <si>
    <t>Brent Celek</t>
  </si>
  <si>
    <t>TB08</t>
  </si>
  <si>
    <t>TB04 TB05 TB06 TB07 TB08</t>
  </si>
  <si>
    <t>TB07 TB08</t>
  </si>
  <si>
    <t>TB04 TB05 TB07 TB08</t>
  </si>
  <si>
    <t>Jay Ratliff</t>
  </si>
  <si>
    <t>STL05 TB07 TB08</t>
  </si>
  <si>
    <t>MIN03 MIN04 MIN05 TB08</t>
  </si>
  <si>
    <t>ARI02 ARI03 TB05 TB06 TB07 TB08</t>
  </si>
  <si>
    <t>David Jones</t>
  </si>
  <si>
    <t>Michael Robinson</t>
  </si>
  <si>
    <t>JAX07</t>
  </si>
  <si>
    <t>Garrett Wolfe</t>
  </si>
  <si>
    <t>Carey Davis</t>
  </si>
  <si>
    <t>JAX05 JAX06 JAX07</t>
  </si>
  <si>
    <t>Jason Avant</t>
  </si>
  <si>
    <t>SD02 SD03 JAX04 JAX07</t>
  </si>
  <si>
    <t>Jamar Williams</t>
  </si>
  <si>
    <t>Calvin Pace</t>
  </si>
  <si>
    <t>OAK02 OAK03 OAK04 JAX05 JAX06 JAX07</t>
  </si>
  <si>
    <t>JAX05 JAX07</t>
  </si>
  <si>
    <t>KC03 KC04 KC05 KC07</t>
  </si>
  <si>
    <t>KC06 KC07</t>
  </si>
  <si>
    <t>KC03 KC04 KC05 KC06 KC07</t>
  </si>
  <si>
    <t>Darius Walker</t>
  </si>
  <si>
    <t>KC07</t>
  </si>
  <si>
    <t>Will Heller</t>
  </si>
  <si>
    <t>SF05 KC06 KC07</t>
  </si>
  <si>
    <t>Luke McCown</t>
  </si>
  <si>
    <t>MIN07</t>
  </si>
  <si>
    <t>Kyle Orton</t>
  </si>
  <si>
    <t>Ryan Grant</t>
  </si>
  <si>
    <t>MIN06 MIN07</t>
  </si>
  <si>
    <t>MIN03 MIN04 MIN05 MIN07</t>
  </si>
  <si>
    <t>BUF06 BUF07 BUF08</t>
  </si>
  <si>
    <t>OAK02 OAK03 OAK04 OAK05 OAK06 OAK07 BUF08</t>
  </si>
  <si>
    <t>BUF07 BUF08</t>
  </si>
  <si>
    <t>NO05 BUF07 BUF08</t>
  </si>
  <si>
    <t>NO05 NYJ06 BUF07 BUF08</t>
  </si>
  <si>
    <t>BUF08</t>
  </si>
  <si>
    <t>OAK02 OAK03 OAK04 OAK06 OAK07 BUF08</t>
  </si>
  <si>
    <t>Darren McFadden</t>
  </si>
  <si>
    <t>TEN03 TEN04 BUF08</t>
  </si>
  <si>
    <t>SEA04 SEA05 BUF06 BUF07 BUF08</t>
  </si>
  <si>
    <t>SEA03 SEA04 SEA05 BUF06 BUF07 BUF08</t>
  </si>
  <si>
    <t>SEA05 BUF06 BUF07 BUF08</t>
  </si>
  <si>
    <t>WAS03 NYJ05 SEA06 BUF07 BUF08</t>
  </si>
  <si>
    <t>SEA05 BUF07 BUF08</t>
  </si>
  <si>
    <t>HOU02 HOU03 HOU04 HOU05 HOU06 BUF08</t>
  </si>
  <si>
    <t>CHI04 BUF07 BUF08</t>
  </si>
  <si>
    <t>MIN05 MIN06 MIN07</t>
  </si>
  <si>
    <t>MIN04 MIN05 MIN06 MIN07</t>
  </si>
  <si>
    <t>Sam Hurd</t>
  </si>
  <si>
    <t>PIT02 PIT03 PIT05 PIT06 MIN07</t>
  </si>
  <si>
    <t>NE03 NE04 NE05 NE06 NE07</t>
  </si>
  <si>
    <t>NE04 NE07</t>
  </si>
  <si>
    <t>NE03 NE05 NE07</t>
  </si>
  <si>
    <t>Sidney Rice</t>
  </si>
  <si>
    <t>NE07</t>
  </si>
  <si>
    <t>SD02 NE05 NE06 NE07</t>
  </si>
  <si>
    <t>Malcolm Floyd</t>
  </si>
  <si>
    <t>NE03 NE04 NE06 NE07</t>
  </si>
  <si>
    <t>Kris Wilson</t>
  </si>
  <si>
    <t>Shaun Suisham</t>
  </si>
  <si>
    <t>Jamie Winborn</t>
  </si>
  <si>
    <t>NO03 NYG04 NYG06 NE07</t>
  </si>
  <si>
    <t>Aubrayo Franklin</t>
  </si>
  <si>
    <t>Kelly Jennings</t>
  </si>
  <si>
    <t>N.D. Kalu</t>
  </si>
  <si>
    <t>Jim Leonhard</t>
  </si>
  <si>
    <t>Shaun Hill</t>
  </si>
  <si>
    <t>NO07</t>
  </si>
  <si>
    <t>IND05 IND06 NO07</t>
  </si>
  <si>
    <t>MIN04 NO07</t>
  </si>
  <si>
    <t>Jerheme Urban</t>
  </si>
  <si>
    <t>Bobby Wade</t>
  </si>
  <si>
    <t>Nathan</t>
  </si>
  <si>
    <t>through the 2008 season</t>
  </si>
  <si>
    <t>GB03 GB04 IND05 NO07</t>
  </si>
  <si>
    <t>GB04 IND05 IND06 NO07</t>
  </si>
  <si>
    <t>Jarret Johnson</t>
  </si>
  <si>
    <t>GB04 IND05 NO07</t>
  </si>
  <si>
    <t>Haloti Ngata</t>
  </si>
  <si>
    <t>Greg White</t>
  </si>
  <si>
    <t>Kenton Keith</t>
  </si>
  <si>
    <t>NYG07</t>
  </si>
  <si>
    <t>Musa Smith</t>
  </si>
  <si>
    <t>Calvin Johnson</t>
  </si>
  <si>
    <t>NYJ04 NYG06 NYG07</t>
  </si>
  <si>
    <t>NO04 NYG07</t>
  </si>
  <si>
    <t>NYG02 NYG03 NYG05 NYG07</t>
  </si>
  <si>
    <t>PIT02 PIT03 NYG07</t>
  </si>
  <si>
    <t>E.J. Henderson</t>
  </si>
  <si>
    <t>2006 2007 2008</t>
  </si>
  <si>
    <t>NYG02 NYG04 NYG05 NYG06 NYG07</t>
  </si>
  <si>
    <t>NYG02 NYG05 NYG06 NYG07</t>
  </si>
  <si>
    <t>Ray Edwards</t>
  </si>
  <si>
    <t>SF03 SF04 SF05 NYJ06 NYJ07</t>
  </si>
  <si>
    <t>NO05 NYJ06 NYJ07</t>
  </si>
  <si>
    <t>Zach Miller</t>
  </si>
  <si>
    <t>NYJ07</t>
  </si>
  <si>
    <t>ATL04 NYJ07</t>
  </si>
  <si>
    <t>Jeff Dugan</t>
  </si>
  <si>
    <t>Derek Hagan</t>
  </si>
  <si>
    <t>NO04 NYJ07</t>
  </si>
  <si>
    <t>Antwan Odom</t>
  </si>
  <si>
    <t>OAK05 OAK06 OAK07</t>
  </si>
  <si>
    <t>OAK06 OAK07</t>
  </si>
  <si>
    <t>OAK02 OAK03 OAK04 OAK05 OAK07</t>
  </si>
  <si>
    <t>OAK05 OAK07</t>
  </si>
  <si>
    <t>OAK03 OAK04 OAK05 OAK06 OAK07</t>
  </si>
  <si>
    <t>OAK07</t>
  </si>
  <si>
    <t>Darian Barnes</t>
  </si>
  <si>
    <t>OAK02 OAK04 OAK05 OAK07</t>
  </si>
  <si>
    <t>OAK03 OAK05 OAK06 OAK07</t>
  </si>
  <si>
    <t>Clint Ingram</t>
  </si>
  <si>
    <t>DET02 OAK07</t>
  </si>
  <si>
    <t>Marlon McCree</t>
  </si>
  <si>
    <t>OAK02 OAK05 OAK06 OAK07</t>
  </si>
  <si>
    <t>PHI03 PHI04 PHI05 PHI06 PHI07</t>
  </si>
  <si>
    <t>PHI05 PHI06 PHI07</t>
  </si>
  <si>
    <t>STL06 PHI07</t>
  </si>
  <si>
    <t>PHI03 PHI07</t>
  </si>
  <si>
    <t>Reagan Mauia</t>
  </si>
  <si>
    <t>PHI07</t>
  </si>
  <si>
    <t>John Madsen</t>
  </si>
  <si>
    <t>Devard Darling</t>
  </si>
  <si>
    <t>Reed Doughty</t>
  </si>
  <si>
    <t>Kyle Williams</t>
  </si>
  <si>
    <t>PHI04 PHI06 PHI07</t>
  </si>
  <si>
    <t>Brent Hawkins</t>
  </si>
  <si>
    <t>Kenyon Coleman</t>
  </si>
  <si>
    <t>PIT03 PIT04 PIT05 PIT06 PIT07</t>
  </si>
  <si>
    <t>DAL03 DAL04 PIT06 PIT07</t>
  </si>
  <si>
    <t>PIT06 PIT07</t>
  </si>
  <si>
    <t>PIT02 PIT03 PIT04 PIT05 PIT06 PIT07</t>
  </si>
  <si>
    <t>CHI02 CHI03 CHI04 CHI05 PIT07</t>
  </si>
  <si>
    <t>PIT02 PIT03 SD06 PIT07</t>
  </si>
  <si>
    <t>Larry Foote</t>
  </si>
  <si>
    <t>PIT02 PIT03 PIT04 PIT05 PIT07</t>
  </si>
  <si>
    <t>CHI02 PIT07</t>
  </si>
  <si>
    <t>PHI03 TB04 TB05 SD07</t>
  </si>
  <si>
    <t>Thomas Tapeh</t>
  </si>
  <si>
    <t>SD07</t>
  </si>
  <si>
    <t>TB04 SD07</t>
  </si>
  <si>
    <t>SD05 SD06 SD07</t>
  </si>
  <si>
    <t>Anthony Gonzalez</t>
  </si>
  <si>
    <t>James Jones</t>
  </si>
  <si>
    <t>Dante Rosario</t>
  </si>
  <si>
    <t>SD06 SD07</t>
  </si>
  <si>
    <t>Michael Boley</t>
  </si>
  <si>
    <t>DeMeco Ryans</t>
  </si>
  <si>
    <t>Sean Jones</t>
  </si>
  <si>
    <t>Mario Williams</t>
  </si>
  <si>
    <t>NYJ03 NYJ04 NYJ05 SEA06 SEA07</t>
  </si>
  <si>
    <t>PIT05 PIT08</t>
  </si>
  <si>
    <t>CHI02 CHI03 CHI04 CHI05 CHI07 PIT08</t>
  </si>
  <si>
    <t>PIT05 PIT06 PIT07 PIT08</t>
  </si>
  <si>
    <t>SD02 SD03 SD05 PIT08</t>
  </si>
  <si>
    <t>CHI02 CHI03 CHI04 CHI05 PIT08</t>
  </si>
  <si>
    <t>PIT06 PIT07 PIT08</t>
  </si>
  <si>
    <t>Mike Cox</t>
  </si>
  <si>
    <t>PIT08</t>
  </si>
  <si>
    <t>PIT02 PIT03 PIT04 PIT05 PIT06 PIT07 PIT08</t>
  </si>
  <si>
    <t>Robert Meachem</t>
  </si>
  <si>
    <t>PIT03 PIT04 PIT05 PIT06 PIT07 PIT08</t>
  </si>
  <si>
    <t>PIT04 PIT05 PIT06 PIT07 PIT08</t>
  </si>
  <si>
    <t>Jeff King</t>
  </si>
  <si>
    <t>PIT07 PIT08</t>
  </si>
  <si>
    <t>CHI02 CHI03 CHI05 CHI06 PIT07 PIT08</t>
  </si>
  <si>
    <t>PIT03 PIT06 PIT07 PIT08</t>
  </si>
  <si>
    <t>Brandon Meriweather</t>
  </si>
  <si>
    <t>Tyler Brayton</t>
  </si>
  <si>
    <t>NE04 NE05 PIT06 PIT08</t>
  </si>
  <si>
    <t>Shaun Smith</t>
  </si>
  <si>
    <t>Joe Flacco</t>
  </si>
  <si>
    <t>MIN08</t>
  </si>
  <si>
    <t>MIN07 MIN08</t>
  </si>
  <si>
    <t>MIN06 MIN07 MIN08</t>
  </si>
  <si>
    <t>MIN03 MIN04 MIN05 MIN08</t>
  </si>
  <si>
    <t>MIN03 MIN04 MIN05 MIN07 MIN08</t>
  </si>
  <si>
    <t>MIN06 MIN08</t>
  </si>
  <si>
    <t>ARI02 ARI03 TB04 TB05 TB06 TB07 MIN08</t>
  </si>
  <si>
    <t>WAS03 WAS04 GB05 TB07 MIN08</t>
  </si>
  <si>
    <t>MIN03 MIN04 MIN06 MIN07 MIN08</t>
  </si>
  <si>
    <t>NO05 NYJ06 NYJ07 MIN08</t>
  </si>
  <si>
    <t>MIN03 MIN04 MIN05 MIN06 MIN07 MIN08</t>
  </si>
  <si>
    <t>Abram Elam</t>
  </si>
  <si>
    <t>ARI03 TB04 TB06 JAX07 MIN08</t>
  </si>
  <si>
    <t>OAK02 SEA05 GB06 MIN07 MIN08</t>
  </si>
  <si>
    <t>MIN05 MIN06 MIN07 MIN08</t>
  </si>
  <si>
    <t>Isaac Sopoaga</t>
  </si>
  <si>
    <t>Stephen Cooper</t>
  </si>
  <si>
    <t>Omar Gaither</t>
  </si>
  <si>
    <t>PIT02 PIT04 PIT05 PIT06 MIN07 MIN08</t>
  </si>
  <si>
    <t>SEA06 SEA07 PHI08</t>
  </si>
  <si>
    <t>PHI04 PHI05 PHI06 PHI07 PHI08</t>
  </si>
  <si>
    <t>STL03 STL06 PHI07 PHI08</t>
  </si>
  <si>
    <t>PHI06 PHI07 PHI08</t>
  </si>
  <si>
    <t>JAX03 PHI04 PHI05 PHI06 PHI07 PHI08</t>
  </si>
  <si>
    <t>Miles Austin</t>
  </si>
  <si>
    <t>PHI08</t>
  </si>
  <si>
    <t>Naufahu Tahi</t>
  </si>
  <si>
    <t>PHI07 PHI08</t>
  </si>
  <si>
    <t>HOU02 HOU03 HOU04 PHI06 PHI07 PHI08</t>
  </si>
  <si>
    <t>PHI03 PHI04 PHI06 PHI07 PHI08</t>
  </si>
  <si>
    <t>Tully Banta-Cain</t>
  </si>
  <si>
    <t>PHI04 PHI07 PHI08</t>
  </si>
  <si>
    <t>Charles Godfrey</t>
  </si>
  <si>
    <t>Chris Long</t>
  </si>
  <si>
    <t>Mike Wright</t>
  </si>
  <si>
    <t>Steve Smith (CAR)</t>
  </si>
  <si>
    <t>Steve Smith (NYG)</t>
  </si>
  <si>
    <t>Selvin Young</t>
  </si>
  <si>
    <t>SEA07</t>
  </si>
  <si>
    <t>Jerious Norwood</t>
  </si>
  <si>
    <t>SEA03 NYJ04 NYJ05 SEA06 SEA07</t>
  </si>
  <si>
    <t>WAS03 WAS04 GB05 SEA06 SEA07</t>
  </si>
  <si>
    <t>NYJ03 SEA07</t>
  </si>
  <si>
    <t>DAL05 SEA06 SEA07</t>
  </si>
  <si>
    <t>Dwayne Jarrett</t>
  </si>
  <si>
    <t>NYJ03 NYJ04 SEA06 SEA07</t>
  </si>
  <si>
    <t>NYJ03 NYJ04 NYJ05 SEA07</t>
  </si>
  <si>
    <t>Nick Folk</t>
  </si>
  <si>
    <t>Chaun Thompson</t>
  </si>
  <si>
    <t>STL02 STL03 STL04 STL05 SEA06 SEA07</t>
  </si>
  <si>
    <t>STL02 STL03 SEA06 SEA07</t>
  </si>
  <si>
    <t>Mark Simoneau</t>
  </si>
  <si>
    <t>SF06 SF07</t>
  </si>
  <si>
    <t>SF02 SF03 SF04 SF07</t>
  </si>
  <si>
    <t>SF02 SF03 SF04 SF05 SF06 SF07</t>
  </si>
  <si>
    <t>NO03 NO04 NO05 SF06 SF07</t>
  </si>
  <si>
    <t>SF05 SF06 SF07</t>
  </si>
  <si>
    <t>Ben Obomanu</t>
  </si>
  <si>
    <t>SF07</t>
  </si>
  <si>
    <t>SF02 SF03 SF04 SF05 SF07</t>
  </si>
  <si>
    <t>Eric Weddle</t>
  </si>
  <si>
    <t>SF03 SF07</t>
  </si>
  <si>
    <t>QB rating calculations</t>
  </si>
  <si>
    <t>Antonio Pittman</t>
  </si>
  <si>
    <t>STL07</t>
  </si>
  <si>
    <t>KC03 KC04 KC06 STL07</t>
  </si>
  <si>
    <t>KC03 KC04 KC05 KC06 STL07</t>
  </si>
  <si>
    <t>Ted Ginn Jr.</t>
  </si>
  <si>
    <t>Mason Crosby</t>
  </si>
  <si>
    <t>Thomas Howard</t>
  </si>
  <si>
    <t>James Butler</t>
  </si>
  <si>
    <t>Dewayne White</t>
  </si>
  <si>
    <t>Justin Tuck</t>
  </si>
  <si>
    <t>Amobi Okoye</t>
  </si>
  <si>
    <t>TB05 TB06 TB07</t>
  </si>
  <si>
    <t>TB04 TB05 TB06 TB07</t>
  </si>
  <si>
    <t>TB07</t>
  </si>
  <si>
    <t>Barrett Ruud</t>
  </si>
  <si>
    <t>ARI02 TB05 TB07</t>
  </si>
  <si>
    <t>Kelvin Hayden</t>
  </si>
  <si>
    <t>James Sanders</t>
  </si>
  <si>
    <t>Sage Rosenfels</t>
  </si>
  <si>
    <t>TEN07</t>
  </si>
  <si>
    <t>TEN05 TEN06 TEN07</t>
  </si>
  <si>
    <t>Brandon Jackson</t>
  </si>
  <si>
    <t>TEN03 TEN04 TEN05 TEN06 TEN07</t>
  </si>
  <si>
    <t>Greg Olsen</t>
  </si>
  <si>
    <t>Devin Hester</t>
  </si>
  <si>
    <t>David Harris</t>
  </si>
  <si>
    <t>TEN03 TEN04 TEN06 TEN07</t>
  </si>
  <si>
    <t>Chris Gamble</t>
  </si>
  <si>
    <t>Brian Robison</t>
  </si>
  <si>
    <t>Darryl Tapp</t>
  </si>
  <si>
    <t>Passing</t>
  </si>
  <si>
    <t>Team</t>
  </si>
  <si>
    <t>Comp</t>
  </si>
  <si>
    <t>Attempts</t>
  </si>
  <si>
    <t>Yards</t>
  </si>
  <si>
    <t>TD</t>
  </si>
  <si>
    <t>Int</t>
  </si>
  <si>
    <t>Cmp%</t>
  </si>
  <si>
    <t>Yds/A</t>
  </si>
  <si>
    <t>TD%</t>
  </si>
  <si>
    <t>Int%</t>
  </si>
  <si>
    <t>Rating</t>
  </si>
  <si>
    <t>Brett Favre</t>
  </si>
  <si>
    <t>LEAGUE TOTALS</t>
  </si>
  <si>
    <t>Rushing</t>
  </si>
  <si>
    <t>Carries</t>
  </si>
  <si>
    <t>Yds/C</t>
  </si>
  <si>
    <t>Receiving</t>
  </si>
  <si>
    <t>Receptions</t>
  </si>
  <si>
    <t>Yds/R</t>
  </si>
  <si>
    <t>Kicking</t>
  </si>
  <si>
    <t>Field Goals</t>
  </si>
  <si>
    <t>Points</t>
  </si>
  <si>
    <t>Pts/G</t>
  </si>
  <si>
    <t>Sacks</t>
  </si>
  <si>
    <t>SOMIFA CAREER INDIVIDUAL LEADERS</t>
  </si>
  <si>
    <t>Tim Couch</t>
  </si>
  <si>
    <t>Teams</t>
  </si>
  <si>
    <t>KC03</t>
  </si>
  <si>
    <t>Matt Hasselbeck</t>
  </si>
  <si>
    <t>NE03</t>
  </si>
  <si>
    <t>Drew Bledsoe</t>
  </si>
  <si>
    <t>MIN03</t>
  </si>
  <si>
    <t>Steve McNair</t>
  </si>
  <si>
    <t>NO03</t>
  </si>
  <si>
    <t>Mark Brunell</t>
  </si>
  <si>
    <t>NYG03</t>
  </si>
  <si>
    <t>Tony Banks</t>
  </si>
  <si>
    <t>Daunte Culpepper</t>
  </si>
  <si>
    <t>STL02 STL03</t>
  </si>
  <si>
    <t>Aaron Brooks</t>
  </si>
  <si>
    <t>WAS03</t>
  </si>
  <si>
    <t>Brad Johnson</t>
  </si>
  <si>
    <t>SD02 SD03</t>
  </si>
  <si>
    <t>Jake Delhomme</t>
  </si>
  <si>
    <t>PIT03</t>
  </si>
  <si>
    <t>Peyton Manning</t>
  </si>
  <si>
    <t>ATL02 ATL03</t>
  </si>
  <si>
    <t>Trent Green</t>
  </si>
  <si>
    <t>CHI02 CHI03</t>
  </si>
  <si>
    <t>Vinny Testaverde</t>
  </si>
  <si>
    <t>Yr</t>
  </si>
  <si>
    <t>BAL03</t>
  </si>
  <si>
    <t>Kelly Holcomb</t>
  </si>
  <si>
    <t>ARI02 ARI03</t>
  </si>
  <si>
    <t>Rich Gannon</t>
  </si>
  <si>
    <t>HOU02 HOU03</t>
  </si>
  <si>
    <t>Doug Johnson</t>
  </si>
  <si>
    <t>SF02 SF03</t>
  </si>
  <si>
    <t>Tom Brady</t>
  </si>
  <si>
    <t>PHI03</t>
  </si>
  <si>
    <t>Rex Grossman</t>
  </si>
  <si>
    <t>SD03</t>
  </si>
  <si>
    <t>Tommy Maddox</t>
  </si>
  <si>
    <t>SEA03</t>
  </si>
  <si>
    <t>Michael Vick</t>
  </si>
  <si>
    <t>Patrick Ramsey</t>
  </si>
  <si>
    <t>GB03</t>
  </si>
  <si>
    <t>Donovan McNabb</t>
  </si>
  <si>
    <t>DAL02 DAL03</t>
  </si>
  <si>
    <t>Jon Kitna</t>
  </si>
  <si>
    <t>Chad Pennington</t>
  </si>
  <si>
    <t>NYG02 NYG03</t>
  </si>
  <si>
    <t>HOU03</t>
  </si>
  <si>
    <t>Byron Leftwich</t>
  </si>
  <si>
    <t>Jeff Garcia</t>
  </si>
  <si>
    <t>JAX03</t>
  </si>
  <si>
    <t>Joey Harrington</t>
  </si>
  <si>
    <t>David Carr</t>
  </si>
  <si>
    <t>TEN03</t>
  </si>
  <si>
    <t>Jay Fiedler</t>
  </si>
  <si>
    <t>Marc Bulger</t>
  </si>
  <si>
    <t>NYJ03</t>
  </si>
  <si>
    <t>Kordell Stewart</t>
  </si>
  <si>
    <t>Todd Collins</t>
  </si>
  <si>
    <t>OAK03</t>
  </si>
  <si>
    <t>Shaun King</t>
  </si>
  <si>
    <t>Drew Brees</t>
  </si>
  <si>
    <t>Jeff Blake</t>
  </si>
  <si>
    <t>Kurt Warner</t>
  </si>
  <si>
    <t>Billy Volek</t>
  </si>
  <si>
    <t>Jesse Palmer</t>
  </si>
  <si>
    <t>DAL03</t>
  </si>
  <si>
    <t>Kyle Boller</t>
  </si>
  <si>
    <t>Kerry Collins</t>
  </si>
  <si>
    <t>Rohan Davey</t>
  </si>
  <si>
    <t>Josh McCown</t>
  </si>
  <si>
    <t>STL03</t>
  </si>
  <si>
    <t>Tim Rattay</t>
  </si>
  <si>
    <t>Marques Tuiasosopo</t>
  </si>
  <si>
    <t>ARI03</t>
  </si>
  <si>
    <t>Jake Plummer</t>
  </si>
  <si>
    <t>DET02 DET03</t>
  </si>
  <si>
    <t>Chris Chandler</t>
  </si>
  <si>
    <t>CHI02</t>
  </si>
  <si>
    <t>Shane Matthews</t>
  </si>
  <si>
    <t>DET02</t>
  </si>
  <si>
    <t xml:space="preserve">  none can be more than 2.375 or less than 0</t>
  </si>
  <si>
    <t>Jamal Lewis</t>
  </si>
  <si>
    <t>Clinton Portis</t>
  </si>
  <si>
    <t>LaDainian Tomlinson</t>
  </si>
  <si>
    <t>Ahman Green</t>
  </si>
  <si>
    <t>Stephen Davis</t>
  </si>
  <si>
    <t>Michael Pittman</t>
  </si>
  <si>
    <t>Fred Taylor</t>
  </si>
  <si>
    <t>Shaun Alexander</t>
  </si>
  <si>
    <t>Kevan Barlow</t>
  </si>
  <si>
    <t>Curtis Martin</t>
  </si>
  <si>
    <t>Priest Holmes</t>
  </si>
  <si>
    <t>Anthony Thomas</t>
  </si>
  <si>
    <t>Edgerrin James</t>
  </si>
  <si>
    <t>Rudi Johnson</t>
  </si>
  <si>
    <t>Tiki Barber</t>
  </si>
  <si>
    <t>T.J. Duckett</t>
  </si>
  <si>
    <t>Ricky Williams</t>
  </si>
  <si>
    <t>Domanick Davis</t>
  </si>
  <si>
    <t>Travis Henry</t>
  </si>
  <si>
    <t>Thomas Jones</t>
  </si>
  <si>
    <t>Onterrio Smith</t>
  </si>
  <si>
    <t>Warrick Dunn</t>
  </si>
  <si>
    <t>Marshall Faulk</t>
  </si>
  <si>
    <t>Brian Westbrook</t>
  </si>
  <si>
    <t>Trung Canidate</t>
  </si>
  <si>
    <t>Michael Bennett</t>
  </si>
  <si>
    <t>Najeh Davenport</t>
  </si>
  <si>
    <t>Corey Dillon</t>
  </si>
  <si>
    <t>Moe Williams</t>
  </si>
  <si>
    <t>DeShaun Foster</t>
  </si>
  <si>
    <t>Duce Staley</t>
  </si>
  <si>
    <t>Antowain Smith</t>
  </si>
  <si>
    <t>Garrison Hearst</t>
  </si>
  <si>
    <t>Troy Hambrick</t>
  </si>
  <si>
    <t>William Green</t>
  </si>
  <si>
    <t>Charlie Garner</t>
  </si>
  <si>
    <t>Rock Cartwright</t>
  </si>
  <si>
    <t>Shawn Bryson</t>
  </si>
  <si>
    <t>Jerome Bettis</t>
  </si>
  <si>
    <t>Chester Taylor</t>
  </si>
  <si>
    <t>Richie Anderson</t>
  </si>
  <si>
    <t>Sammy Morris</t>
  </si>
  <si>
    <t>Olandis Gary</t>
  </si>
  <si>
    <t>Chris Fuamatu-Maafala</t>
  </si>
  <si>
    <t>Tyrone Wheatley</t>
  </si>
  <si>
    <t>Brad Hoover</t>
  </si>
  <si>
    <t>Robert Holcombe</t>
  </si>
  <si>
    <t>Justin Griffith</t>
  </si>
  <si>
    <t>Tony Fisher</t>
  </si>
  <si>
    <t>Eddie George</t>
  </si>
  <si>
    <t>Jamel White</t>
  </si>
  <si>
    <t>LaBrandon Toefield</t>
  </si>
  <si>
    <t>Ladell Betts</t>
  </si>
  <si>
    <t>Rob Konrad</t>
  </si>
  <si>
    <t>Correll Buckhalter</t>
  </si>
  <si>
    <t>Maurice Morris</t>
  </si>
  <si>
    <t>Justin Fargas</t>
  </si>
  <si>
    <t>Quentin Griffin</t>
  </si>
  <si>
    <t>Mike Anderson</t>
  </si>
  <si>
    <t>Sam Gash</t>
  </si>
  <si>
    <t>Lamar Gordon</t>
  </si>
  <si>
    <t>Alan Ricard</t>
  </si>
  <si>
    <t>Cory Schlesinger</t>
  </si>
  <si>
    <t>Tony Richardson</t>
  </si>
  <si>
    <t>Mack Strong</t>
  </si>
  <si>
    <t>Emmitt Smith</t>
  </si>
  <si>
    <t>Dominic Rhodes</t>
  </si>
  <si>
    <t>Mike Alstott</t>
  </si>
  <si>
    <t>Larry Centers</t>
  </si>
  <si>
    <t>Zack Crockett</t>
  </si>
  <si>
    <t>Travis Minor</t>
  </si>
  <si>
    <t>Patrick Pass</t>
  </si>
  <si>
    <t>James Hodgins</t>
  </si>
  <si>
    <t>Verron Haynes</t>
  </si>
  <si>
    <t>Lorenzo Neal</t>
  </si>
  <si>
    <t>Larry Johnson</t>
  </si>
  <si>
    <t>Kevin Faulk</t>
  </si>
  <si>
    <t>Marcel Shipp</t>
  </si>
  <si>
    <t>Jon Ritchie</t>
  </si>
  <si>
    <t>Nick Luchey</t>
  </si>
  <si>
    <t>Adrian Murrell</t>
  </si>
  <si>
    <t>Marc Edwards</t>
  </si>
  <si>
    <t>Jim Finn</t>
  </si>
  <si>
    <t>Chris Brown</t>
  </si>
  <si>
    <t>Bryan Johnson</t>
  </si>
  <si>
    <t>Fred Beasley</t>
  </si>
  <si>
    <t>LaMont Jordan</t>
  </si>
  <si>
    <t>Dan Kreider</t>
  </si>
  <si>
    <t>Ricky Williams (IND)</t>
  </si>
  <si>
    <t>Deuce McAllister</t>
  </si>
  <si>
    <t>SF03</t>
  </si>
  <si>
    <t>PIT02 PIT03</t>
  </si>
  <si>
    <t>ATL03</t>
  </si>
  <si>
    <t>CHI03</t>
  </si>
  <si>
    <t>Jim Kleinsasser</t>
  </si>
  <si>
    <t>DAL02</t>
  </si>
  <si>
    <t>Leon Johnson</t>
  </si>
  <si>
    <t>James Mungro</t>
  </si>
  <si>
    <t>HOU02</t>
  </si>
  <si>
    <t>William Henderson</t>
  </si>
  <si>
    <t>Dorsey Levens</t>
  </si>
  <si>
    <t>OAK02</t>
  </si>
  <si>
    <t>Charles Stackhouse</t>
  </si>
  <si>
    <t>PIT02</t>
  </si>
  <si>
    <t>SD02</t>
  </si>
  <si>
    <t>Stacey Mack</t>
  </si>
  <si>
    <t>SF02</t>
  </si>
  <si>
    <t>All Wide Receivers</t>
  </si>
  <si>
    <t>All Punters</t>
  </si>
  <si>
    <t>Marvin Harrison</t>
  </si>
  <si>
    <t>Terrell Owens</t>
  </si>
  <si>
    <t>David Boston</t>
  </si>
  <si>
    <t>Terry Glenn</t>
  </si>
  <si>
    <t>Keenan McCardell</t>
  </si>
  <si>
    <t>Koren Robinson</t>
  </si>
  <si>
    <t>Randy Moss</t>
  </si>
  <si>
    <t>Ashley Lelie</t>
  </si>
  <si>
    <t>Torry Holt</t>
  </si>
  <si>
    <t>Shannon Sharpe</t>
  </si>
  <si>
    <t>Santana Moss</t>
  </si>
  <si>
    <t>Chad Johnson</t>
  </si>
  <si>
    <t>Daniel Graham</t>
  </si>
  <si>
    <t>Alge Crumpler</t>
  </si>
  <si>
    <t>Laveranues Coles</t>
  </si>
  <si>
    <t>Travis Taylor</t>
  </si>
  <si>
    <t>Muhsin Muhammed</t>
  </si>
  <si>
    <t>Marcus Pollard</t>
  </si>
  <si>
    <t>Donald Driver</t>
  </si>
  <si>
    <t>Wayne Chrebet</t>
  </si>
  <si>
    <t>Keyshawn Johnson</t>
  </si>
  <si>
    <t>Javon Walker</t>
  </si>
  <si>
    <t>Eric Moulds</t>
  </si>
  <si>
    <t>Jeremy Shockey</t>
  </si>
  <si>
    <t>Quincy Morgan</t>
  </si>
  <si>
    <t>Todd Heap</t>
  </si>
  <si>
    <t>Dallas Clark</t>
  </si>
  <si>
    <t>Troy Brown</t>
  </si>
  <si>
    <t>Derrick Mason</t>
  </si>
  <si>
    <t>Marcus Robinson</t>
  </si>
  <si>
    <t>Jerry Rice</t>
  </si>
  <si>
    <t>Jimmy Smith</t>
  </si>
  <si>
    <t>Darrell Jackson</t>
  </si>
  <si>
    <t>Ike Hilliard</t>
  </si>
  <si>
    <t>David Givens</t>
  </si>
  <si>
    <t>Rod Smith</t>
  </si>
  <si>
    <t>Marty Booker</t>
  </si>
  <si>
    <t>Tony Gonzalez</t>
  </si>
  <si>
    <t>Charles Rogers</t>
  </si>
  <si>
    <t>L.J. Smith</t>
  </si>
  <si>
    <t>Reggie Wayne</t>
  </si>
  <si>
    <t>Rod Gardner</t>
  </si>
  <si>
    <t>Isaac Bruce</t>
  </si>
  <si>
    <t>Plaxico Burress</t>
  </si>
  <si>
    <t>Hines Ward</t>
  </si>
  <si>
    <t>Drew Bennett</t>
  </si>
  <si>
    <t>Freddie Jones</t>
  </si>
  <si>
    <t>PIT02 PIT/MIN03 MIN04 MIN05 GB06 GB07 NO08</t>
  </si>
  <si>
    <t>IND05 IND06 NO07 NO08</t>
  </si>
  <si>
    <t>IND05 IND06 NO08</t>
  </si>
  <si>
    <t>IND06 NO07 NO08</t>
  </si>
  <si>
    <t>Donnie Avery</t>
  </si>
  <si>
    <t>NO08</t>
  </si>
  <si>
    <t>NO07 NO08</t>
  </si>
  <si>
    <t>Harry Douglas</t>
  </si>
  <si>
    <t>GB03 GB04 IND05 IND06 NO07 NO08</t>
  </si>
  <si>
    <t>Chris Houston</t>
  </si>
  <si>
    <t>Cato June</t>
  </si>
  <si>
    <t>GB04 IND06 NO07 NO08</t>
  </si>
  <si>
    <t>GB03 IND05 IND06 NO08</t>
  </si>
  <si>
    <t>updated 5/13/2010</t>
  </si>
  <si>
    <t>Amani Toomer</t>
  </si>
  <si>
    <t>Matt Schobel</t>
  </si>
  <si>
    <t>Ricky Proehl</t>
  </si>
  <si>
    <t>Brandon Stokley</t>
  </si>
  <si>
    <t>Andre Davis</t>
  </si>
  <si>
    <t>Eddie Kennison</t>
  </si>
  <si>
    <t>Chad Lewis</t>
  </si>
  <si>
    <t>Erron Kinney</t>
  </si>
  <si>
    <t>Antonio Gates</t>
  </si>
  <si>
    <t>Andre Johnson</t>
  </si>
  <si>
    <t>Tai Streets</t>
  </si>
  <si>
    <t>Dane Looker</t>
  </si>
  <si>
    <t>Chris Chambers</t>
  </si>
  <si>
    <t>Robert Ferguson</t>
  </si>
  <si>
    <t>Deion Branch</t>
  </si>
  <si>
    <t>Joe Horn</t>
  </si>
  <si>
    <t>Curtis Conway</t>
  </si>
  <si>
    <t>Christian Fauria</t>
  </si>
  <si>
    <t>Bubba Franks</t>
  </si>
  <si>
    <t>Todd Pinkston</t>
  </si>
  <si>
    <t>Anquan Boldin</t>
  </si>
  <si>
    <t>Johnnie Morton</t>
  </si>
  <si>
    <t>Itula Mili</t>
  </si>
  <si>
    <t>Ernie Conwell</t>
  </si>
  <si>
    <t>Randy McMichael</t>
  </si>
  <si>
    <t>Teyo Johnson</t>
  </si>
  <si>
    <t>Anthony Becht</t>
  </si>
  <si>
    <t>Jason Witten</t>
  </si>
  <si>
    <t>Donte Stallworth</t>
  </si>
  <si>
    <t>Kassim Osgood</t>
  </si>
  <si>
    <t>Troy Walters</t>
  </si>
  <si>
    <t>Billy Miller</t>
  </si>
  <si>
    <t>Reche Caldwell</t>
  </si>
  <si>
    <t>Antonio Bryant</t>
  </si>
  <si>
    <t>Peter Warrick</t>
  </si>
  <si>
    <t>Peerless Price</t>
  </si>
  <si>
    <t>Jonathan Carter</t>
  </si>
  <si>
    <t>Dez White</t>
  </si>
  <si>
    <t>Jerome Pathon</t>
  </si>
  <si>
    <t>Josh Reed</t>
  </si>
  <si>
    <t>Dante Hall</t>
  </si>
  <si>
    <t>Bobby Shaw</t>
  </si>
  <si>
    <t>Boo Williams</t>
  </si>
  <si>
    <t>Justin McCareins</t>
  </si>
  <si>
    <t>Brandon Lloyd</t>
  </si>
  <si>
    <t>Mikhael Ricks</t>
  </si>
  <si>
    <t>Frank Wycheck</t>
  </si>
  <si>
    <t>Kendall Newson</t>
  </si>
  <si>
    <t>James Thrash</t>
  </si>
  <si>
    <t>Freddie Mitchell</t>
  </si>
  <si>
    <t>Dennis Northcutt</t>
  </si>
  <si>
    <t>Scotty Anderson</t>
  </si>
  <si>
    <t>David Terrell</t>
  </si>
  <si>
    <t>Tim Carter</t>
  </si>
  <si>
    <t>Darnell Sanders</t>
  </si>
  <si>
    <t>Doug Jolley</t>
  </si>
  <si>
    <t>Wesley Walls</t>
  </si>
  <si>
    <t>Jerald Sowell</t>
  </si>
  <si>
    <t>Cedrick Wilson</t>
  </si>
  <si>
    <t>Troy Edwards</t>
  </si>
  <si>
    <t>Joey Galloway</t>
  </si>
  <si>
    <t>Desmond Clark</t>
  </si>
  <si>
    <t>Bethel Johnson</t>
  </si>
  <si>
    <t>Jerramy Stevens</t>
  </si>
  <si>
    <t>Darnerian McCants</t>
  </si>
  <si>
    <t>Ken Dilger</t>
  </si>
  <si>
    <t>Kevin Johnson</t>
  </si>
  <si>
    <t>Kelley Washington</t>
  </si>
  <si>
    <t>Steve Bush</t>
  </si>
  <si>
    <t>Jerry Porter</t>
  </si>
  <si>
    <t>Corey Bradford</t>
  </si>
  <si>
    <t>Kelly Campbell</t>
  </si>
  <si>
    <t>D'Wayne Bates</t>
  </si>
  <si>
    <t>Cam Cleeland</t>
  </si>
  <si>
    <t>Ed McCaffery</t>
  </si>
  <si>
    <t>Tyrone Calico</t>
  </si>
  <si>
    <t>Bill Schroeder</t>
  </si>
  <si>
    <t>Chris Cole</t>
  </si>
  <si>
    <t>Bryant Johnson</t>
  </si>
  <si>
    <t>Brian Finneran</t>
  </si>
  <si>
    <t>Chris Baker</t>
  </si>
  <si>
    <t>Terry Jones</t>
  </si>
  <si>
    <t>Bobby Engram</t>
  </si>
  <si>
    <t>Jameel Cook</t>
  </si>
  <si>
    <t>Az-Zahir Hakim</t>
  </si>
  <si>
    <t>Hunter Goodwin</t>
  </si>
  <si>
    <t>Aaron Walker</t>
  </si>
  <si>
    <t>Chris Doering</t>
  </si>
  <si>
    <t>Kyle Brady</t>
  </si>
  <si>
    <t>Jed Weaver</t>
  </si>
  <si>
    <t>Jay Riemersma</t>
  </si>
  <si>
    <t>Donald Lee</t>
  </si>
  <si>
    <t>Tony Stewart</t>
  </si>
  <si>
    <t>Kris Mangum</t>
  </si>
  <si>
    <t>George Wrighster</t>
  </si>
  <si>
    <t>Greg Lewis</t>
  </si>
  <si>
    <t>Mark Campbell</t>
  </si>
  <si>
    <t>Reggie Kelly</t>
  </si>
  <si>
    <t>Alvis Whitted</t>
  </si>
  <si>
    <t>DET03</t>
  </si>
  <si>
    <t>James McKnight</t>
  </si>
  <si>
    <t>Tim Brown</t>
  </si>
  <si>
    <t>David Patten</t>
  </si>
  <si>
    <t>Brandon Manumaleuna</t>
  </si>
  <si>
    <t>Jabari Holloway</t>
  </si>
  <si>
    <t>STL02</t>
  </si>
  <si>
    <t>Joe Jurevicius</t>
  </si>
  <si>
    <t>Dwayne Carswell</t>
  </si>
  <si>
    <t>Cecil Martin</t>
  </si>
  <si>
    <t>ATL02</t>
  </si>
  <si>
    <t>Marc Boerigter</t>
  </si>
  <si>
    <t>ARI02</t>
  </si>
  <si>
    <t>Kevin Dyson</t>
  </si>
  <si>
    <t>Reggie Swinton</t>
  </si>
  <si>
    <t>Jabar Gaffney</t>
  </si>
  <si>
    <t>NYG02</t>
  </si>
  <si>
    <t>Dedric Ward</t>
  </si>
  <si>
    <t>Eric Parker</t>
  </si>
  <si>
    <t>Dan Campbell</t>
  </si>
  <si>
    <t>Jerame Tuman</t>
  </si>
  <si>
    <t>Sebastian Janikowski</t>
  </si>
  <si>
    <t>Matt Bryant</t>
  </si>
  <si>
    <t>Jason Elam</t>
  </si>
  <si>
    <t>John Carney</t>
  </si>
  <si>
    <t>Paul Edinger</t>
  </si>
  <si>
    <t>Matt Stover</t>
  </si>
  <si>
    <t>Adam Vinatieri</t>
  </si>
  <si>
    <t>David Akers</t>
  </si>
  <si>
    <t>Morten Andersen</t>
  </si>
  <si>
    <t>Mike Vanderjagt</t>
  </si>
  <si>
    <t>John Hall</t>
  </si>
  <si>
    <t>Jay Feely</t>
  </si>
  <si>
    <t>Jeff Wilkins</t>
  </si>
  <si>
    <t>John Kasay</t>
  </si>
  <si>
    <t>Billy Cundiff</t>
  </si>
  <si>
    <t>Steve Christie</t>
  </si>
  <si>
    <t>Martin Gramatica</t>
  </si>
  <si>
    <t>Todd Peterson</t>
  </si>
  <si>
    <t>Kenard Lang</t>
  </si>
  <si>
    <t>Kevin Williams</t>
  </si>
  <si>
    <t>Charles Grant</t>
  </si>
  <si>
    <t>Grant Wistrom</t>
  </si>
  <si>
    <t>Shaun Ellis</t>
  </si>
  <si>
    <t>Dwight Freeney</t>
  </si>
  <si>
    <t>Jason Gildon</t>
  </si>
  <si>
    <t>Aaron Schobel</t>
  </si>
  <si>
    <t>Jessie Armstead</t>
  </si>
  <si>
    <t>Darwin Walker</t>
  </si>
  <si>
    <t>Reggie Hayward</t>
  </si>
  <si>
    <t>Corey Simon</t>
  </si>
  <si>
    <t>Marcus Stroud</t>
  </si>
  <si>
    <t>Darren Howard</t>
  </si>
  <si>
    <t>Jevon Kearse</t>
  </si>
  <si>
    <t>Mike Vrabel</t>
  </si>
  <si>
    <t>Michael Strahan</t>
  </si>
  <si>
    <t>Tony Brackens</t>
  </si>
  <si>
    <t>Julian Peterson</t>
  </si>
  <si>
    <t>Eugene Wilson</t>
  </si>
  <si>
    <t>LaRoi Glover</t>
  </si>
  <si>
    <t>Brian Young</t>
  </si>
  <si>
    <t>Ray Thompson</t>
  </si>
  <si>
    <t>Tebucky Jones</t>
  </si>
  <si>
    <t>Marcellus Wiley</t>
  </si>
  <si>
    <t>Warren Sapp</t>
  </si>
  <si>
    <t>Jason Taylor</t>
  </si>
  <si>
    <t>Courtney Brown</t>
  </si>
  <si>
    <t>Brian Urlacher</t>
  </si>
  <si>
    <t>Patrick Kerney</t>
  </si>
  <si>
    <t>Terrell Suggs</t>
  </si>
  <si>
    <t>Nick Barnett</t>
  </si>
  <si>
    <t>Chike Okeafor</t>
  </si>
  <si>
    <t>Adewale Ogunleye</t>
  </si>
  <si>
    <t>Jeff Posey</t>
  </si>
  <si>
    <t>Dan Wilkinson</t>
  </si>
  <si>
    <t>Kailee Wong</t>
  </si>
  <si>
    <t>Mike Rucker</t>
  </si>
  <si>
    <t>Grady Jackson</t>
  </si>
  <si>
    <t>Takeo Spikes</t>
  </si>
  <si>
    <t>Terrell Buckley</t>
  </si>
  <si>
    <t>Junior Seau</t>
  </si>
  <si>
    <t>Tedy Bruschi</t>
  </si>
  <si>
    <t>Marcus Washington</t>
  </si>
  <si>
    <t>Rod Woodson</t>
  </si>
  <si>
    <t>Greg Spires</t>
  </si>
  <si>
    <t>Kris Jenkins</t>
  </si>
  <si>
    <t>Edward Jasper</t>
  </si>
  <si>
    <t>Travis Hall</t>
  </si>
  <si>
    <t>Omar Stoutmire</t>
  </si>
  <si>
    <t>Greg Ellis</t>
  </si>
  <si>
    <t>Willie Blade</t>
  </si>
  <si>
    <t>Napoleon Harris</t>
  </si>
  <si>
    <t>Lance Johnstone</t>
  </si>
  <si>
    <t>Adalius Thomas</t>
  </si>
  <si>
    <t>Eric Hicks</t>
  </si>
  <si>
    <t>Leonard Little</t>
  </si>
  <si>
    <t>Tony Williams</t>
  </si>
  <si>
    <t>Ellis Johnson</t>
  </si>
  <si>
    <t>Alex Brown</t>
  </si>
  <si>
    <t>Shelton Quarles</t>
  </si>
  <si>
    <t>Paul Grasmanis</t>
  </si>
  <si>
    <t>Kimo von Oelhoffen</t>
  </si>
  <si>
    <t>Jason Ferguson</t>
  </si>
  <si>
    <t>Boss Bailey</t>
  </si>
  <si>
    <t>Barrett Green</t>
  </si>
  <si>
    <t>Tim Bowens</t>
  </si>
  <si>
    <t>Andra Davis</t>
  </si>
  <si>
    <t>DeQuincy Scott</t>
  </si>
  <si>
    <t>Sam Adams</t>
  </si>
  <si>
    <t>Trevor Pryce</t>
  </si>
  <si>
    <t>Ken Lucas</t>
  </si>
  <si>
    <t>Kenny Mixon</t>
  </si>
  <si>
    <t>Cornelius Griffin</t>
  </si>
  <si>
    <t>Jeff Zgonina</t>
  </si>
  <si>
    <t>Kevin Carter</t>
  </si>
  <si>
    <t>Jamie Sharper</t>
  </si>
  <si>
    <t>Carlos Emmons</t>
  </si>
  <si>
    <t>Jerome Woods</t>
  </si>
  <si>
    <t>Champ Bailey</t>
  </si>
  <si>
    <t>Andre Carter</t>
  </si>
  <si>
    <t>Casey Hampton</t>
  </si>
  <si>
    <t>Duane Clemons</t>
  </si>
  <si>
    <t>Richard Seymour</t>
  </si>
  <si>
    <t>Brian Simmons</t>
  </si>
  <si>
    <t>Roy Williams</t>
  </si>
  <si>
    <t>Dat Nguyen</t>
  </si>
  <si>
    <t>Dexter Coakley</t>
  </si>
  <si>
    <t>Peter Sirmon</t>
  </si>
  <si>
    <t>Dennis Johnson</t>
  </si>
  <si>
    <t>Chris Draft</t>
  </si>
  <si>
    <t>Michael Lewis</t>
  </si>
  <si>
    <t>Mike Peterson</t>
  </si>
  <si>
    <t>John Engelberger</t>
  </si>
  <si>
    <t>Bryant Young</t>
  </si>
  <si>
    <t>Bryan Thomas</t>
  </si>
  <si>
    <t>Lamont Thompson</t>
  </si>
  <si>
    <t>Greg Wesley</t>
  </si>
  <si>
    <t>Robaire Smith</t>
  </si>
  <si>
    <t>Gerard Warren</t>
  </si>
  <si>
    <t>Kelly Gregg</t>
  </si>
  <si>
    <t>Kendrell Bell</t>
  </si>
  <si>
    <t>John Henderson</t>
  </si>
  <si>
    <t>Shaun Rogers</t>
  </si>
  <si>
    <t>Shawn Barber</t>
  </si>
  <si>
    <t>Matt Chatham</t>
  </si>
  <si>
    <t>Kwamie Lassiter</t>
  </si>
  <si>
    <t>Simeon Rice</t>
  </si>
  <si>
    <t>Peter Boulware</t>
  </si>
  <si>
    <t>Al Singleton</t>
  </si>
  <si>
    <t>Jason Fisk</t>
  </si>
  <si>
    <t>Zach Thomas</t>
  </si>
  <si>
    <t>John Lynch</t>
  </si>
  <si>
    <t>Anthony McFarland</t>
  </si>
  <si>
    <t>Ryan Sims</t>
  </si>
  <si>
    <t>Samari Rolle</t>
  </si>
  <si>
    <t>Aaron Kampman</t>
  </si>
  <si>
    <t>Terry Cousin</t>
  </si>
  <si>
    <t>Anthony Henry</t>
  </si>
  <si>
    <t>Bryan Scott</t>
  </si>
  <si>
    <t>Matt Stewart</t>
  </si>
  <si>
    <t>Derek Smith</t>
  </si>
  <si>
    <t>Ellis Wyms</t>
  </si>
  <si>
    <t>Chad Brown</t>
  </si>
  <si>
    <t>Philip Daniels</t>
  </si>
  <si>
    <t>Rocky Calmus</t>
  </si>
  <si>
    <t>John Thornton</t>
  </si>
  <si>
    <t>Brandon Mitchell</t>
  </si>
  <si>
    <t>James Hall</t>
  </si>
  <si>
    <t>Lenny Walls</t>
  </si>
  <si>
    <t>Donovin Darius</t>
  </si>
  <si>
    <t>Darren Sharper</t>
  </si>
  <si>
    <t>Will Witherspoon</t>
  </si>
  <si>
    <t>Rashad Holman</t>
  </si>
  <si>
    <t>Larry Smith</t>
  </si>
  <si>
    <t>Mo Lewis</t>
  </si>
  <si>
    <t>PIT03 PIT04 PIT05 PIT06 PIT07 KC08</t>
  </si>
  <si>
    <t>KC03 KC04 KC05 KC06 KC07 KC08</t>
  </si>
  <si>
    <t>KC03 KC08</t>
  </si>
  <si>
    <t>KC05 KC07 KC08</t>
  </si>
  <si>
    <t>KC06 KC07 KC08</t>
  </si>
  <si>
    <t>STL06 STL07 KC08</t>
  </si>
  <si>
    <t>John Gilmore</t>
  </si>
  <si>
    <t>KC08</t>
  </si>
  <si>
    <t>Davone Bess</t>
  </si>
  <si>
    <t>KC04 KC05 KC06 KC07 KC08</t>
  </si>
  <si>
    <t>KC04 KC06 KC08</t>
  </si>
  <si>
    <t>KC03 KC07 KC08</t>
  </si>
  <si>
    <t>KC04 KC08</t>
  </si>
  <si>
    <t>SEA05 OAK08</t>
  </si>
  <si>
    <t>BAL07 OAK08</t>
  </si>
  <si>
    <t>OAK08</t>
  </si>
  <si>
    <t>JAX03 JAX04 OAK05 OAK06 OAK07 OAK08</t>
  </si>
  <si>
    <t>OAK05 OAK06 OAK07 OAK08</t>
  </si>
  <si>
    <t>OAK04 OAK05 OAK06 OAK07 OAK08</t>
  </si>
  <si>
    <t>OAK03 OAK04 OAK05 OAK06 OAK07 OAK08</t>
  </si>
  <si>
    <t>STL02 STL03 OAK08</t>
  </si>
  <si>
    <t>JAX04 OAK05 OAK06 OAK07 OAK08</t>
  </si>
  <si>
    <t>Keenan Burton</t>
  </si>
  <si>
    <t>Dan Klecko</t>
  </si>
  <si>
    <t>OAK02 OAK03 OAK04 OAK05 OAK06 OAK07 OAK08</t>
  </si>
  <si>
    <t>OAK03 OAK04 OAK05 OAK07 OAK08</t>
  </si>
  <si>
    <t>OAK07 OAK08</t>
  </si>
  <si>
    <t>Tyrell Johnson</t>
  </si>
  <si>
    <t>STL05 STL06 OAK08</t>
  </si>
  <si>
    <t>DAL06 OAK08</t>
  </si>
  <si>
    <t>Pat Sims</t>
  </si>
  <si>
    <t>IND06 GB08</t>
  </si>
  <si>
    <t>GB05 GB08</t>
  </si>
  <si>
    <t>GB06 GB07 GB08</t>
  </si>
  <si>
    <t>Matt Forte</t>
  </si>
  <si>
    <t>GB08</t>
  </si>
  <si>
    <t>BAL03 BAL05 GB08</t>
  </si>
  <si>
    <t>SEA06 SEA07 GB08</t>
  </si>
  <si>
    <t>ATL02 ATL03 ATL04 ATL05 ATL06 GB07 GB08</t>
  </si>
  <si>
    <t>Josh Morgan</t>
  </si>
  <si>
    <t>WAS04 GB05 GB06 GB07 GB08</t>
  </si>
  <si>
    <t>BAL03 BAL05 BAL06 GB07 GB08</t>
  </si>
  <si>
    <t>WAS03 GB05 GB06 GB07 GB08</t>
  </si>
  <si>
    <t>DET04 SEA06 GB07 GB08</t>
  </si>
  <si>
    <t>NO07 GB08</t>
  </si>
  <si>
    <t>WAS04 GB06 GB08</t>
  </si>
  <si>
    <t>WAS03 WAS04 GB05 GB06 GB07 GB08</t>
  </si>
  <si>
    <t>Juqua Parker</t>
  </si>
  <si>
    <t>Fred Robbins</t>
  </si>
  <si>
    <t>Robert Thomas</t>
  </si>
  <si>
    <t>Larry Chester</t>
  </si>
  <si>
    <t>Lavar Arrington</t>
  </si>
  <si>
    <t>Kevin House</t>
  </si>
  <si>
    <t>Bobby Taylor</t>
  </si>
  <si>
    <t>Troy Vincent</t>
  </si>
  <si>
    <t>David Bowens</t>
  </si>
  <si>
    <t>Clark Haggans</t>
  </si>
  <si>
    <t>Brian Dawkins</t>
  </si>
  <si>
    <t>Orpheus Roye</t>
  </si>
  <si>
    <t>Marques Douglas</t>
  </si>
  <si>
    <t>Scott Fujita</t>
  </si>
  <si>
    <t>Willie Whitehead</t>
  </si>
  <si>
    <t>Mike Logan</t>
  </si>
  <si>
    <t>Justin Smith</t>
  </si>
  <si>
    <t>Rosevelt Colvin</t>
  </si>
  <si>
    <t>Julius Peppers</t>
  </si>
  <si>
    <t>Kabeer Gbaja-Biamila</t>
  </si>
  <si>
    <t>Mark Fields</t>
  </si>
  <si>
    <t>John Abraham</t>
  </si>
  <si>
    <t>Hugh Douglas</t>
  </si>
  <si>
    <t>Derrick Brooks</t>
  </si>
  <si>
    <t>Al Wilson</t>
  </si>
  <si>
    <t>Brad Scioli</t>
  </si>
  <si>
    <t>Earl Little</t>
  </si>
  <si>
    <t>Coy Wire</t>
  </si>
  <si>
    <t>Brentson Buckner</t>
  </si>
  <si>
    <t>John Browning</t>
  </si>
  <si>
    <t>Dwayne Rudd</t>
  </si>
  <si>
    <t>Brock Marion</t>
  </si>
  <si>
    <t>Jeremiah Trotter</t>
  </si>
  <si>
    <t>Carl Powell</t>
  </si>
  <si>
    <t>Mike McKenzie</t>
  </si>
  <si>
    <t>Joey Porter</t>
  </si>
  <si>
    <t>Ronde Barber</t>
  </si>
  <si>
    <t>Ian Gold</t>
  </si>
  <si>
    <t>Chris Claiborne</t>
  </si>
  <si>
    <t>Lawyer Milloy</t>
  </si>
  <si>
    <t>Idrees Bashir</t>
  </si>
  <si>
    <t>Eric Westmoreland</t>
  </si>
  <si>
    <t>Sam Madison</t>
  </si>
  <si>
    <t>Mark Word</t>
  </si>
  <si>
    <t>Randall Godfrey</t>
  </si>
  <si>
    <t>Keith Newman</t>
  </si>
  <si>
    <t>Orlando Ruff</t>
  </si>
  <si>
    <t>Ed Reed</t>
  </si>
  <si>
    <t>John Parella</t>
  </si>
  <si>
    <t>JoJuan Armour</t>
  </si>
  <si>
    <t>Sam Cowart</t>
  </si>
  <si>
    <t>Seth Payne</t>
  </si>
  <si>
    <t>Will Allen</t>
  </si>
  <si>
    <t>Wins</t>
  </si>
  <si>
    <t>Losses</t>
  </si>
  <si>
    <t>Ties</t>
  </si>
  <si>
    <t>Win%</t>
  </si>
  <si>
    <t>Baltimore Ravens</t>
  </si>
  <si>
    <t>Detroit Lions</t>
  </si>
  <si>
    <t>San Francisco Forty Niners</t>
  </si>
  <si>
    <t>Houston Texans</t>
  </si>
  <si>
    <t>New York Giants</t>
  </si>
  <si>
    <t>Atlanta Falcons</t>
  </si>
  <si>
    <t>Kansas City Chiefs</t>
  </si>
  <si>
    <t>Dallas Cowboys</t>
  </si>
  <si>
    <t>Washington Redskins</t>
  </si>
  <si>
    <t>Pittsburgh Steelers</t>
  </si>
  <si>
    <t>Minnesota Vikings</t>
  </si>
  <si>
    <t>Green Bay Packers</t>
  </si>
  <si>
    <t>New England Patriots</t>
  </si>
  <si>
    <t>Philadelphia Eagles</t>
  </si>
  <si>
    <t>San Diego Chargers</t>
  </si>
  <si>
    <t>Seattle Seahawks</t>
  </si>
  <si>
    <t>Oakland Raiders</t>
  </si>
  <si>
    <t>New York Jets</t>
  </si>
  <si>
    <t>Arizona Cardinals</t>
  </si>
  <si>
    <t>Tennessee Titans</t>
  </si>
  <si>
    <t>Chicago Bears</t>
  </si>
  <si>
    <t>Jacksonville Jaguars</t>
  </si>
  <si>
    <t>SOMIFA LIFETIME RECORDS</t>
  </si>
  <si>
    <t>Coach</t>
  </si>
  <si>
    <t>Wayne</t>
  </si>
  <si>
    <t>Ed</t>
  </si>
  <si>
    <t>Rene</t>
  </si>
  <si>
    <t>Joe</t>
  </si>
  <si>
    <t>Bernie</t>
  </si>
  <si>
    <t>Paul</t>
  </si>
  <si>
    <t>JT</t>
  </si>
  <si>
    <t>Rick</t>
  </si>
  <si>
    <t>Brad</t>
  </si>
  <si>
    <t>Bill</t>
  </si>
  <si>
    <t>JJ</t>
  </si>
  <si>
    <t>TJ</t>
  </si>
  <si>
    <t>Johnny</t>
  </si>
  <si>
    <t>Vic</t>
  </si>
  <si>
    <t>Ron</t>
  </si>
  <si>
    <t>Rousel</t>
  </si>
  <si>
    <t>Jamie</t>
  </si>
  <si>
    <t>Vinny</t>
  </si>
  <si>
    <t>Jeff</t>
  </si>
  <si>
    <t>John</t>
  </si>
  <si>
    <t>Brian H.</t>
  </si>
  <si>
    <t>Brian V.</t>
  </si>
  <si>
    <t>Mark</t>
  </si>
  <si>
    <t>Playoffs</t>
  </si>
  <si>
    <t>Regular Season + mini-playoff</t>
  </si>
  <si>
    <t>Tampa Bay Buccaneers</t>
  </si>
  <si>
    <t>Dennis</t>
  </si>
  <si>
    <t>Zeb</t>
  </si>
  <si>
    <t>Neil</t>
  </si>
  <si>
    <t>Larry</t>
  </si>
  <si>
    <t>Chris</t>
  </si>
  <si>
    <t>Tommy</t>
  </si>
  <si>
    <t>Years</t>
  </si>
  <si>
    <t>2002 2003 2004</t>
  </si>
  <si>
    <t>2003 2004</t>
  </si>
  <si>
    <t>2002 2003</t>
  </si>
  <si>
    <t>SEA03 ATL04</t>
  </si>
  <si>
    <t>ATL03 ATL04</t>
  </si>
  <si>
    <t>Terry Jackson</t>
  </si>
  <si>
    <t>ATL04</t>
  </si>
  <si>
    <t>Nate Burleson</t>
  </si>
  <si>
    <t>Randy Starks</t>
  </si>
  <si>
    <t>Keith Bulluck</t>
  </si>
  <si>
    <t>D.J. Williams</t>
  </si>
  <si>
    <t>BAL03 BAL04</t>
  </si>
  <si>
    <t>Willis McGahee</t>
  </si>
  <si>
    <t>BAL04</t>
  </si>
  <si>
    <t>Nick Goings</t>
  </si>
  <si>
    <t>Shaun McDonald</t>
  </si>
  <si>
    <t>DAL02 DAL03 BAL04</t>
  </si>
  <si>
    <t>Raheem Brock</t>
  </si>
  <si>
    <t>Norman Hand</t>
  </si>
  <si>
    <t>CHI02 CHI03 CHI04</t>
  </si>
  <si>
    <t>J.P. Losman</t>
  </si>
  <si>
    <t>CHI04</t>
  </si>
  <si>
    <t>Shaud Williams</t>
  </si>
  <si>
    <t>Andrew Pinnock</t>
  </si>
  <si>
    <t>CHI03 CHI04</t>
  </si>
  <si>
    <t>Aaron Shea</t>
  </si>
  <si>
    <t>CHI02 CHI04</t>
  </si>
  <si>
    <t>Jerricho Cotchery</t>
  </si>
  <si>
    <t>Keith Traylor</t>
  </si>
  <si>
    <t>Kalimba Edwards</t>
  </si>
  <si>
    <t>Chris Clemons</t>
  </si>
  <si>
    <t>Kawika Mitchell</t>
  </si>
  <si>
    <t>DAL02 DAL03 DAL04</t>
  </si>
  <si>
    <t>Kevin Jones</t>
  </si>
  <si>
    <t>DAL04</t>
  </si>
  <si>
    <t>Jeremi Johnson</t>
  </si>
  <si>
    <t>Craig Nall</t>
  </si>
  <si>
    <t>Jeb Putzier</t>
  </si>
  <si>
    <t>Richard Owens</t>
  </si>
  <si>
    <t>Clarence Moore</t>
  </si>
  <si>
    <t>Marco Coleman</t>
  </si>
  <si>
    <t>Rashad Moore</t>
  </si>
  <si>
    <t>DAL02 DAL04</t>
  </si>
  <si>
    <t>DET02 DET03 DET04</t>
  </si>
  <si>
    <t>Ken Dorsey</t>
  </si>
  <si>
    <t>DET04</t>
  </si>
  <si>
    <t>Josh Scobey</t>
  </si>
  <si>
    <t>Joey Goodspeed</t>
  </si>
  <si>
    <t>DET02 DET04</t>
  </si>
  <si>
    <t>Arnaz Battle</t>
  </si>
  <si>
    <t>Ray Lewis</t>
  </si>
  <si>
    <t>Andre Dyson</t>
  </si>
  <si>
    <t>Sam Brandon</t>
  </si>
  <si>
    <t>GB03 GB04</t>
  </si>
  <si>
    <t>Darius Watts</t>
  </si>
  <si>
    <t>GB04</t>
  </si>
  <si>
    <t>Cory Redding</t>
  </si>
  <si>
    <t>Ian Scott</t>
  </si>
  <si>
    <t>Russell Davis</t>
  </si>
  <si>
    <t>Cullen Jenkins</t>
  </si>
  <si>
    <t>Akin Ayodele</t>
  </si>
  <si>
    <t>Bhawoh Jue</t>
  </si>
  <si>
    <t>HOU02 HOU03 HOU04</t>
  </si>
  <si>
    <t>HOU04</t>
  </si>
  <si>
    <t>Michael Clayton</t>
  </si>
  <si>
    <t>Lee Evans</t>
  </si>
  <si>
    <t>Mike Karney</t>
  </si>
  <si>
    <t>Rashaun Woods</t>
  </si>
  <si>
    <t>Pat Williams</t>
  </si>
  <si>
    <t>Steve Foley</t>
  </si>
  <si>
    <t>Troy Polamalu</t>
  </si>
  <si>
    <t>Quintin Jammer</t>
  </si>
  <si>
    <t>Ben Roethlisberger</t>
  </si>
  <si>
    <t>JAX04</t>
  </si>
  <si>
    <t>JAX03 JAX04</t>
  </si>
  <si>
    <t>Courtney Anderson</t>
  </si>
  <si>
    <t>Keary Colbert</t>
  </si>
  <si>
    <t>PHI03 JAX04</t>
  </si>
  <si>
    <t>Cletidus Hunt</t>
  </si>
  <si>
    <t>Brent Alexander</t>
  </si>
  <si>
    <t>Jim Sorgi</t>
  </si>
  <si>
    <t>KC04</t>
  </si>
  <si>
    <t>Mark Bruener</t>
  </si>
  <si>
    <t>Demetric Evans</t>
  </si>
  <si>
    <t>Antonio Cochran</t>
  </si>
  <si>
    <t>Antonio Pierce</t>
  </si>
  <si>
    <t>MIN03 MIN04</t>
  </si>
  <si>
    <t>Jesse Chatman</t>
  </si>
  <si>
    <t>MIN04</t>
  </si>
  <si>
    <t>Ben Hartsock</t>
  </si>
  <si>
    <t>Derrius Thompson</t>
  </si>
  <si>
    <t>Teddy Lehman</t>
  </si>
  <si>
    <t>NE03 NE04</t>
  </si>
  <si>
    <t>OAK02 NE04</t>
  </si>
  <si>
    <t>Kenny Watson</t>
  </si>
  <si>
    <t>NE04</t>
  </si>
  <si>
    <t>Jonathan Wells</t>
  </si>
  <si>
    <t>Stephen Alexander</t>
  </si>
  <si>
    <t>Aaron Smith</t>
  </si>
  <si>
    <t>Bryce Fisher</t>
  </si>
  <si>
    <t>Danny Clark</t>
  </si>
  <si>
    <t>Pisa Tinoisamoa</t>
  </si>
  <si>
    <t>Ryan Nece</t>
  </si>
  <si>
    <t>NO03 NO04</t>
  </si>
  <si>
    <t>Chris Simms</t>
  </si>
  <si>
    <t>NO04</t>
  </si>
  <si>
    <t>Eric Johnson</t>
  </si>
  <si>
    <t>Moran Norris</t>
  </si>
  <si>
    <t>Mike Seidman</t>
  </si>
  <si>
    <t>Joe Salave'a</t>
  </si>
  <si>
    <t>Kenechi Udeze</t>
  </si>
  <si>
    <t>Tommy Polley</t>
  </si>
  <si>
    <t>CHI03 NO04</t>
  </si>
  <si>
    <t>NYG02 NYG03 NYG04</t>
  </si>
  <si>
    <t>NYG03 NYG04</t>
  </si>
  <si>
    <t>Obafemi Ayanbadejo</t>
  </si>
  <si>
    <t>NYG04</t>
  </si>
  <si>
    <t>Olindo Mare</t>
  </si>
  <si>
    <t>Ron Edwards</t>
  </si>
  <si>
    <t>Reggie Torbor</t>
  </si>
  <si>
    <t>Rien Long</t>
  </si>
  <si>
    <t>NYJ03 NYJ04</t>
  </si>
  <si>
    <t>Matt Schaub</t>
  </si>
  <si>
    <t>NYJ04</t>
  </si>
  <si>
    <t>Daimon Shelton</t>
  </si>
  <si>
    <t>Ronald Curry</t>
  </si>
  <si>
    <t>Kevin Walter</t>
  </si>
  <si>
    <t>Anthony Weaver</t>
  </si>
  <si>
    <t>Ebenezer Ekuban</t>
  </si>
  <si>
    <t>Terreal Bierria</t>
  </si>
  <si>
    <t>Shawn Springs</t>
  </si>
  <si>
    <t>Adrian Wilson</t>
  </si>
  <si>
    <t>OAK03 OAK04</t>
  </si>
  <si>
    <t>OAK02 OAK03 OAK04</t>
  </si>
  <si>
    <t>Derrick Blaylock</t>
  </si>
  <si>
    <t>OAK04</t>
  </si>
  <si>
    <t>T.J. Houshmandzadeh</t>
  </si>
  <si>
    <t>OAK02 OAK04</t>
  </si>
  <si>
    <t>James Darling</t>
  </si>
  <si>
    <t>HOU03 OAK04</t>
  </si>
  <si>
    <t>Hunter Hillenmeyer</t>
  </si>
  <si>
    <t>Charles Woodson</t>
  </si>
  <si>
    <t>PHI03 PHI04</t>
  </si>
  <si>
    <t>NO03 PHI04</t>
  </si>
  <si>
    <t>Julius Jones</t>
  </si>
  <si>
    <t>PHI04</t>
  </si>
  <si>
    <t>Kyle Johnson</t>
  </si>
  <si>
    <t>Chris Cooley</t>
  </si>
  <si>
    <t>Chris Hoke</t>
  </si>
  <si>
    <t>Willie McGinest</t>
  </si>
  <si>
    <t>Rob Morris</t>
  </si>
  <si>
    <t>Ben Leber</t>
  </si>
  <si>
    <t>Sammy Knight</t>
  </si>
  <si>
    <t>Juran Bolden</t>
  </si>
  <si>
    <t>PIT03 PIT04</t>
  </si>
  <si>
    <t>Brian Griese</t>
  </si>
  <si>
    <t>PIT04</t>
  </si>
  <si>
    <t>J.R. Redmond</t>
  </si>
  <si>
    <t>Antwaan Randle El</t>
  </si>
  <si>
    <t>SD05 DET06 DET07 DET08</t>
  </si>
  <si>
    <t>NO03 NO04 DET05 DET06 DET07 DET08</t>
  </si>
  <si>
    <t>DET06 DET07 DET08</t>
  </si>
  <si>
    <t>SD04 SD05 DET06 DET07</t>
  </si>
  <si>
    <t>DET02 DET03 DET04 DET05 DET06 DET08</t>
  </si>
  <si>
    <t>DET07 DET08</t>
  </si>
  <si>
    <t>GB03 GB04 DET08</t>
  </si>
  <si>
    <t>Eddie Royal</t>
  </si>
  <si>
    <t>DET08</t>
  </si>
  <si>
    <t>DET02 DET03 DET04 DET05 DET06 DET07 DET08</t>
  </si>
  <si>
    <t>DET03 DET05 DET07 DET08</t>
  </si>
  <si>
    <t>DET04 DET05 DET06 DET07 DET08</t>
  </si>
  <si>
    <t>Matt Spaeth</t>
  </si>
  <si>
    <t>David Anderson</t>
  </si>
  <si>
    <t>Jerrod Mayo</t>
  </si>
  <si>
    <t>DET03 DET04 DET06 DET07 DET08</t>
  </si>
  <si>
    <t>DET06 DET08</t>
  </si>
  <si>
    <t>Jason Jones</t>
  </si>
  <si>
    <t>Vonnie Holliday</t>
  </si>
  <si>
    <t>Mike Sellers</t>
  </si>
  <si>
    <t>Lional Dalton</t>
  </si>
  <si>
    <t>Chad Lavalais</t>
  </si>
  <si>
    <t>Fred Smoot</t>
  </si>
  <si>
    <t>Donnie Abraham</t>
  </si>
  <si>
    <t>STL02 STL03 STL04</t>
  </si>
  <si>
    <t>Troy Fleming</t>
  </si>
  <si>
    <t>STL04</t>
  </si>
  <si>
    <t>Kevin Curtis</t>
  </si>
  <si>
    <t>Todd Yoder</t>
  </si>
  <si>
    <t>Sam Rayburn</t>
  </si>
  <si>
    <t>Jerry Wilson</t>
  </si>
  <si>
    <t>Terrence Holt</t>
  </si>
  <si>
    <t>SD02 SD03 SD04</t>
  </si>
  <si>
    <t>Mewelde Moore</t>
  </si>
  <si>
    <t>SD04</t>
  </si>
  <si>
    <t>Terrelle Smith</t>
  </si>
  <si>
    <t>SD02 SD04</t>
  </si>
  <si>
    <t>David Garrard</t>
  </si>
  <si>
    <t>Derick Armstrong</t>
  </si>
  <si>
    <t>Chris Kelsay</t>
  </si>
  <si>
    <t>Madieu Williams</t>
  </si>
  <si>
    <t>Carson Palmer</t>
  </si>
  <si>
    <t>SF04</t>
  </si>
  <si>
    <t>Bernard Berrian</t>
  </si>
  <si>
    <t>David Tyree</t>
  </si>
  <si>
    <t>Chartric Darby</t>
  </si>
  <si>
    <t>Marcus Tubbs</t>
  </si>
  <si>
    <t>Keith Brooking</t>
  </si>
  <si>
    <t>David Thornton</t>
  </si>
  <si>
    <t>SF02 SF04</t>
  </si>
  <si>
    <t>DeAngelo Hall</t>
  </si>
  <si>
    <t>Quincy Carter</t>
  </si>
  <si>
    <t>SEA04</t>
  </si>
  <si>
    <t>A.J. Feeley</t>
  </si>
  <si>
    <t>Steven Jackson</t>
  </si>
  <si>
    <t>Amos Zereoue</t>
  </si>
  <si>
    <t>SEA03 SEA04</t>
  </si>
  <si>
    <t>Adimchinobe Echemandu</t>
  </si>
  <si>
    <t>ATL03 SEA04</t>
  </si>
  <si>
    <t>Larry Fitzgerald</t>
  </si>
  <si>
    <t>Damione Lewis</t>
  </si>
  <si>
    <t>Brady Smith</t>
  </si>
  <si>
    <t>James Farrior</t>
  </si>
  <si>
    <t>Stanley Pritchett</t>
  </si>
  <si>
    <t>TB04</t>
  </si>
  <si>
    <t>Jermaine Wiggins</t>
  </si>
  <si>
    <t>ARI03 TB04</t>
  </si>
  <si>
    <t>Neil Rackers</t>
  </si>
  <si>
    <t>Rod Coleman</t>
  </si>
  <si>
    <t>Osi Umenyiori</t>
  </si>
  <si>
    <t>Tommie Harris</t>
  </si>
  <si>
    <t>Lance Briggs</t>
  </si>
  <si>
    <t>Na'il Diggs</t>
  </si>
  <si>
    <t>Chris Hope</t>
  </si>
  <si>
    <t>Kim Herring</t>
  </si>
  <si>
    <t>TEN03 TEN04</t>
  </si>
  <si>
    <t>Eli Manning</t>
  </si>
  <si>
    <t>TEN04</t>
  </si>
  <si>
    <t>Jason McAddley</t>
  </si>
  <si>
    <t>Ben Troupe</t>
  </si>
  <si>
    <t>James Allen</t>
  </si>
  <si>
    <t>Reuben Droughns</t>
  </si>
  <si>
    <t>WAS04</t>
  </si>
  <si>
    <t>Jamal Williams</t>
  </si>
  <si>
    <t>Dhani Jones</t>
  </si>
  <si>
    <t>James Davis</t>
  </si>
  <si>
    <t>Champ</t>
  </si>
  <si>
    <t>Yds/Season</t>
  </si>
  <si>
    <t>Sacks/Season</t>
  </si>
  <si>
    <t>2002 2003 2004 2005</t>
  </si>
  <si>
    <t>2003 2004 2005</t>
  </si>
  <si>
    <t>GB / Indianapolis Colts</t>
  </si>
  <si>
    <t>WAS / Green Bay Packers</t>
  </si>
  <si>
    <t>Joe P.</t>
  </si>
  <si>
    <t>Nelson</t>
  </si>
  <si>
    <t>Mike K.</t>
  </si>
  <si>
    <t>Tim F.</t>
  </si>
  <si>
    <t>Tim B.</t>
  </si>
  <si>
    <t>Mike P.</t>
  </si>
  <si>
    <t>ATL02 ATL03 ATL04 ATL05</t>
  </si>
  <si>
    <t>Trent Dilfer</t>
  </si>
  <si>
    <t>ATL05</t>
  </si>
  <si>
    <t>Brooks Bollinger</t>
  </si>
  <si>
    <t>DAL05</t>
  </si>
  <si>
    <t>DET02 DET03 DET04 DET05</t>
  </si>
  <si>
    <t>DET04 DET05</t>
  </si>
  <si>
    <t>MIN03 MIN04 GB05</t>
  </si>
  <si>
    <t>WAS03 WAS04 GB05</t>
  </si>
  <si>
    <t>Ryan Fitzpatrick</t>
  </si>
  <si>
    <t>GB05</t>
  </si>
  <si>
    <t>HOU03 HOU04 HOU05</t>
  </si>
  <si>
    <t>GB03 GB04 IND05</t>
  </si>
  <si>
    <t>Gus Frerotte</t>
  </si>
  <si>
    <t>IND05</t>
  </si>
  <si>
    <t>ARI02 ARI03 TB04 JAX05</t>
  </si>
  <si>
    <t>KC03 KC04 KC05</t>
  </si>
  <si>
    <t>KC04 KC05</t>
  </si>
  <si>
    <t>NE03 NE04 NE05</t>
  </si>
  <si>
    <t>NO04 NO05</t>
  </si>
  <si>
    <t>Charlie Frye</t>
  </si>
  <si>
    <t>NYG05</t>
  </si>
  <si>
    <t>NYJ03 NYJ04 NYJ05</t>
  </si>
  <si>
    <t>Todd Bouman</t>
  </si>
  <si>
    <t>NYJ05</t>
  </si>
  <si>
    <t>NYJ04 NYJ05</t>
  </si>
  <si>
    <t>Anthony Wright</t>
  </si>
  <si>
    <t>OAK05</t>
  </si>
  <si>
    <t>OAK02 OAK03 OAK04 OAK05</t>
  </si>
  <si>
    <t>Alex Smith</t>
  </si>
  <si>
    <t>PHI03 PHI04 PHI05</t>
  </si>
  <si>
    <t>Jamie Martin</t>
  </si>
  <si>
    <t>PHI05</t>
  </si>
  <si>
    <t>PIT04 PIT05</t>
  </si>
  <si>
    <t>PIT03 PIT04 PIT05</t>
  </si>
  <si>
    <t>Aaron Rodgers</t>
  </si>
  <si>
    <t>PIT05</t>
  </si>
  <si>
    <t>STL02 STL03 STL04 STL05</t>
  </si>
  <si>
    <t>STL03 STL04 STL05</t>
  </si>
  <si>
    <t>SD02 SD03 SD04 SD05</t>
  </si>
  <si>
    <t>SD05</t>
  </si>
  <si>
    <t>SF04 SF05</t>
  </si>
  <si>
    <t>SF02 SF03 SF04 SF05</t>
  </si>
  <si>
    <t>NYJ03 SEA04 SEA05</t>
  </si>
  <si>
    <t>Matt Cassel</t>
  </si>
  <si>
    <t>SEA05</t>
  </si>
  <si>
    <t>HOU03 HOU04 TB05</t>
  </si>
  <si>
    <t>TEN03 TEN04 TEN05</t>
  </si>
  <si>
    <t>Frank Gore</t>
  </si>
  <si>
    <t>Heath Evans</t>
  </si>
  <si>
    <t>Cedric Benson</t>
  </si>
  <si>
    <t>CHI05</t>
  </si>
  <si>
    <t>Cecil Sapp</t>
  </si>
  <si>
    <t>CHI04 CHI05</t>
  </si>
  <si>
    <t>DAL04 DAL05</t>
  </si>
  <si>
    <t>NYJ03 NYJ04 DAL05</t>
  </si>
  <si>
    <t>WAS03 GB05</t>
  </si>
  <si>
    <t>Derrick Ward</t>
  </si>
  <si>
    <t>HOU05</t>
  </si>
  <si>
    <t>HOU04 HOU05</t>
  </si>
  <si>
    <t>Cadillac Williams</t>
  </si>
  <si>
    <t>Michael Turner</t>
  </si>
  <si>
    <t>B.J. Askew</t>
  </si>
  <si>
    <t>JAX03 JAX04 JAX05</t>
  </si>
  <si>
    <t>J.J. Arrington</t>
  </si>
  <si>
    <t>Greg Jones</t>
  </si>
  <si>
    <t>KC05</t>
  </si>
  <si>
    <t>Ryan Moats</t>
  </si>
  <si>
    <t>Samkon Gado</t>
  </si>
  <si>
    <t>MIN05</t>
  </si>
  <si>
    <t>MIN03 MIN04 MIN05</t>
  </si>
  <si>
    <t>NE04 NE05</t>
  </si>
  <si>
    <t>NE03 NE05</t>
  </si>
  <si>
    <t>NO05</t>
  </si>
  <si>
    <t>NO03 NO04 NO05</t>
  </si>
  <si>
    <t>Cedric Houston</t>
  </si>
  <si>
    <t>NYG02 NYG03 NYG05</t>
  </si>
  <si>
    <t>Scott</t>
  </si>
  <si>
    <t>2003 2004 2005 2006 2007 2008 2009 2010</t>
  </si>
  <si>
    <t>2002 2003 2004 2005 2006 2007 2008 2009 2010 2011 2012</t>
  </si>
  <si>
    <t>2004 2005 2006 2007 2008 2009 2010 2011 2012</t>
  </si>
  <si>
    <t>2007 2008 2009 2010 2011 2012</t>
  </si>
  <si>
    <t>Jay</t>
  </si>
  <si>
    <t>2004 2005 2006 2007 2008 2009 2010 2011 2012 2013</t>
  </si>
  <si>
    <t>2003 2004 2005 2006 2007 2008 2009 2010 2011 2012 2013</t>
  </si>
  <si>
    <t>2006 2007 2008 2009 2010 2011 2012 2013</t>
  </si>
  <si>
    <t>Brad M.</t>
  </si>
  <si>
    <t>Philadelphia Eagles/JAX</t>
  </si>
  <si>
    <t>2003 2004 2005 2013</t>
  </si>
  <si>
    <t>BAL / Cincinnati Bengals</t>
  </si>
  <si>
    <t>NO / Minnesota Vikings</t>
  </si>
  <si>
    <t>JAX / Denver Broncos</t>
  </si>
  <si>
    <t>2002 2003 2004 2005 2006 2007 2008 2009 2010 2011 2012 2013 2014</t>
  </si>
  <si>
    <t>Lawrence</t>
  </si>
  <si>
    <t>Jeff B.</t>
  </si>
  <si>
    <t>Tony</t>
  </si>
  <si>
    <t>Denver Broncos</t>
  </si>
  <si>
    <t xml:space="preserve">                        2005 2006 2007 2008 2009 2010 2011 2012 2013 2014</t>
  </si>
  <si>
    <t xml:space="preserve">        2003 2004 2005 2006 2007 2008 2009 2010 2011 2012 2013 2014 2015</t>
  </si>
  <si>
    <t>Dan M.</t>
  </si>
  <si>
    <t>Miami Dolphins</t>
  </si>
  <si>
    <t>STL / Los Angeles Rams</t>
  </si>
  <si>
    <t>NE Patriots / Ind Colts</t>
  </si>
  <si>
    <t>Joe G.</t>
  </si>
  <si>
    <t>Mick</t>
  </si>
  <si>
    <t xml:space="preserve">                                        2007 2008 2009 2010 2011 2012 2013 2014 2015 2016</t>
  </si>
  <si>
    <t xml:space="preserve">                                                                                                2014 2015 2016 2017</t>
  </si>
  <si>
    <t>Dave S.</t>
  </si>
  <si>
    <t>Notes</t>
  </si>
  <si>
    <t>For the regular season there is one more loss than win so one was missed somewhere.</t>
  </si>
  <si>
    <t>One season someone else updated this spreadsheet and did not use the format =a+b+c+d… for all of the cells, so that was lost.</t>
  </si>
  <si>
    <t>Mini-playoff games are counted as regular season games which is why some teams have played 17 or 18 games in a season.</t>
  </si>
  <si>
    <t>5-3</t>
  </si>
  <si>
    <t>2-1</t>
  </si>
  <si>
    <t>1-0</t>
  </si>
  <si>
    <t>3-0</t>
  </si>
  <si>
    <t>0-2</t>
  </si>
  <si>
    <t>0-1</t>
  </si>
  <si>
    <t>0-3</t>
  </si>
  <si>
    <t>SD / Los Angeles Chargers</t>
  </si>
  <si>
    <t>Michael</t>
  </si>
  <si>
    <t>1-2</t>
  </si>
  <si>
    <t xml:space="preserve">                                                                                2012 2013 2014 2015 2016 2017 2018 2019 2020</t>
  </si>
  <si>
    <t xml:space="preserve">                                                                                                                        2017 2018 2019 2020</t>
  </si>
  <si>
    <t>JAX/PHI/OAK Las Vegas Raiders</t>
  </si>
  <si>
    <t xml:space="preserve">        2003 2004 2005 2006 2007 2008 2009 2010 2011 2012 2013 2014 2015 2016 2017 2018 2019 2020 2021</t>
  </si>
  <si>
    <t xml:space="preserve">                                                                                                        2015 2016 2017 2018 2019 2020 2021</t>
  </si>
  <si>
    <t>Dan T.</t>
  </si>
  <si>
    <t>Cincinnati Bengals</t>
  </si>
  <si>
    <t xml:space="preserve">                                                                                                                                                        2021</t>
  </si>
  <si>
    <t>Curt</t>
  </si>
  <si>
    <t>KC / Cleveland Browns</t>
  </si>
  <si>
    <t>2-0</t>
  </si>
  <si>
    <t>1-3</t>
  </si>
  <si>
    <t>through the 2022 season</t>
  </si>
  <si>
    <t>updated 2/13/2024</t>
  </si>
  <si>
    <t>2002 2003 2004 2005 2006 2007 2008 2009 2010 2011 2012 2013 2014 2015 2016 2017 2018 2019 2020 2021 2022</t>
  </si>
  <si>
    <t xml:space="preserve">                2004 2005 2006 2007 2008 2009 2010 2011 2012 2013 2014 2015 2016 2017 2018 2019 2020 2021 2022</t>
  </si>
  <si>
    <t xml:space="preserve">                                                2008 2009 2010 2011 2012 2013 2014 2015 2016 2017 2018 2019 2020 2021 2022</t>
  </si>
  <si>
    <t xml:space="preserve">                                                        2009 2010 2011 2012 2013 2014 2015 2016 2017 2018 2019 2020 2021 2022</t>
  </si>
  <si>
    <t xml:space="preserve">                                                                                        2013 2014 2015 2016 2017 2018 2019 2020 2021 2022</t>
  </si>
  <si>
    <t>Tom C.</t>
  </si>
  <si>
    <t xml:space="preserve">                                                                                                        2015 2016 2017 2018 2019 2020 2021 2022</t>
  </si>
  <si>
    <t xml:space="preserve">                                                                                                                2016 2017 2018 2019 2020 2021 2022</t>
  </si>
  <si>
    <t xml:space="preserve">                                                                                                                                                        2021 2022</t>
  </si>
  <si>
    <t xml:space="preserve">                                        2007 2008 2009 2010 2011 2012 2013 2014 2015 2016 2017 2018 2019 2020 2021 2022</t>
  </si>
  <si>
    <t xml:space="preserve">                                                                                                                                2018 2019 2020 2021 2022</t>
  </si>
  <si>
    <t xml:space="preserve">                                                                                                2014 2015 2016 2017 2018 2019 2020 2021 2022</t>
  </si>
  <si>
    <t xml:space="preserve">                                                                        2011 2012 2013 2014 2015 2016 2017 2018 2019 2020 2021 2022</t>
  </si>
  <si>
    <t>Tom V.</t>
  </si>
  <si>
    <t xml:space="preserve">                                                                                                                                                                2022</t>
  </si>
  <si>
    <t>Joe D.</t>
  </si>
  <si>
    <t>1-1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</si>
</sst>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 quotePrefix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Alignment="1" quotePrefix="1">
      <alignment horizontal="left"/>
    </xf>
    <xf numFmtId="1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0.8515625" style="0" customWidth="1"/>
    <col min="2" max="2" width="29.140625" style="0" bestFit="1" customWidth="1"/>
    <col min="3" max="3" width="3.28125" style="4" customWidth="1"/>
    <col min="4" max="4" width="99.421875" style="4" bestFit="1" customWidth="1"/>
    <col min="5" max="6" width="6.8515625" style="0" customWidth="1"/>
    <col min="7" max="7" width="5.00390625" style="0" customWidth="1"/>
    <col min="8" max="8" width="6.00390625" style="0" bestFit="1" customWidth="1"/>
    <col min="9" max="9" width="3.7109375" style="0" customWidth="1"/>
    <col min="10" max="10" width="7.421875" style="43" bestFit="1" customWidth="1"/>
    <col min="11" max="11" width="3.28125" style="4" customWidth="1"/>
    <col min="12" max="13" width="6.8515625" style="0" customWidth="1"/>
    <col min="14" max="14" width="5.00390625" style="0" customWidth="1"/>
    <col min="15" max="15" width="6.00390625" style="0" bestFit="1" customWidth="1"/>
    <col min="16" max="16" width="4.8515625" style="0" customWidth="1"/>
    <col min="17" max="17" width="6.00390625" style="0" bestFit="1" customWidth="1"/>
  </cols>
  <sheetData>
    <row r="2" spans="5:11" ht="20.25">
      <c r="E2" s="42" t="s">
        <v>1663</v>
      </c>
      <c r="K2" s="42"/>
    </row>
    <row r="3" spans="1:16" ht="12.75">
      <c r="A3" s="1"/>
      <c r="C3" s="2"/>
      <c r="D3" s="3"/>
      <c r="E3" s="46" t="s">
        <v>2090</v>
      </c>
      <c r="H3" s="4"/>
      <c r="I3" s="4"/>
      <c r="J3" s="4"/>
      <c r="L3" s="4"/>
      <c r="M3" s="4"/>
      <c r="N3" s="4"/>
      <c r="O3" s="4"/>
      <c r="P3" s="4"/>
    </row>
    <row r="4" spans="3:11" s="47" customFormat="1" ht="12.75" customHeight="1">
      <c r="C4" s="48"/>
      <c r="D4" s="48"/>
      <c r="E4" s="49" t="s">
        <v>2091</v>
      </c>
      <c r="G4" s="50"/>
      <c r="J4" s="51"/>
      <c r="K4" s="50"/>
    </row>
    <row r="5" spans="5:12" ht="12.75">
      <c r="E5" s="4"/>
      <c r="L5" s="4"/>
    </row>
    <row r="6" spans="4:12" ht="12.75">
      <c r="D6" s="22"/>
      <c r="E6" s="25" t="s">
        <v>1689</v>
      </c>
      <c r="L6" s="25" t="s">
        <v>1688</v>
      </c>
    </row>
    <row r="7" spans="3:12" ht="12.75">
      <c r="C7" s="22"/>
      <c r="D7" s="22"/>
      <c r="L7" s="22"/>
    </row>
    <row r="8" spans="1:15" ht="12.75">
      <c r="A8" s="40" t="s">
        <v>1664</v>
      </c>
      <c r="B8" s="40" t="s">
        <v>986</v>
      </c>
      <c r="C8" s="41" t="s">
        <v>1036</v>
      </c>
      <c r="D8" s="41" t="s">
        <v>1697</v>
      </c>
      <c r="E8" s="41" t="s">
        <v>1637</v>
      </c>
      <c r="F8" s="41" t="s">
        <v>1638</v>
      </c>
      <c r="G8" s="41" t="s">
        <v>1639</v>
      </c>
      <c r="H8" s="41" t="s">
        <v>1640</v>
      </c>
      <c r="I8" s="41"/>
      <c r="J8" s="44" t="s">
        <v>1943</v>
      </c>
      <c r="K8" s="41" t="s">
        <v>1036</v>
      </c>
      <c r="L8" s="41" t="s">
        <v>1637</v>
      </c>
      <c r="M8" s="41" t="s">
        <v>1638</v>
      </c>
      <c r="N8" s="41" t="s">
        <v>1639</v>
      </c>
      <c r="O8" s="41" t="s">
        <v>1640</v>
      </c>
    </row>
    <row r="10" spans="1:15" ht="12.75">
      <c r="A10" t="s">
        <v>1666</v>
      </c>
      <c r="B10" t="s">
        <v>1643</v>
      </c>
      <c r="C10" s="4">
        <v>21</v>
      </c>
      <c r="D10" s="54" t="s">
        <v>2092</v>
      </c>
      <c r="E10" s="4">
        <f>7+11+10+13+15+12+11+11+12+12+10+9+11+14+9+11+10+7+12+14+10</f>
        <v>231</v>
      </c>
      <c r="F10" s="4">
        <f>9+5+6+3+1+4+5+5+4+4+6+7+5+2+8+5+7+9+4+3+8</f>
        <v>110</v>
      </c>
      <c r="G10" s="4"/>
      <c r="H10" s="18">
        <f>IF(E10+F10=0,"",E10/(F10+E10)*100)</f>
        <v>67.74193548387096</v>
      </c>
      <c r="I10" s="18"/>
      <c r="J10" s="62" t="s">
        <v>2068</v>
      </c>
      <c r="K10" s="4">
        <v>18</v>
      </c>
      <c r="L10" s="56">
        <f>3+0+2+1+3+3+1+3+2+1+1+0+2+3+0+0+0+0</f>
        <v>25</v>
      </c>
      <c r="M10" s="4">
        <f>0+1+1+1+0+0+1+1+1+1+1+1+0+1+1+1+1</f>
        <v>13</v>
      </c>
      <c r="N10" s="4"/>
      <c r="O10" s="18">
        <f>IF(L10+M10=0,"",L10/(M10+L10)*100)</f>
        <v>65.78947368421053</v>
      </c>
    </row>
    <row r="11" spans="1:15" ht="12.75">
      <c r="A11" t="s">
        <v>1691</v>
      </c>
      <c r="B11" t="s">
        <v>238</v>
      </c>
      <c r="C11" s="4">
        <v>19</v>
      </c>
      <c r="D11" s="54" t="s">
        <v>2093</v>
      </c>
      <c r="E11" s="4">
        <f>3+11+15+9+11+3+5+10+12+13+14+4+13+12+10+13+11+13+8</f>
        <v>190</v>
      </c>
      <c r="F11" s="4">
        <f>1+5+1+7+5+13+11+8+4+3+2+12+3+4+7+3+5+4+9</f>
        <v>107</v>
      </c>
      <c r="G11" s="4"/>
      <c r="H11" s="18">
        <f>IF(E11+F11=0,"",E11/(F11+E11)*100)</f>
        <v>63.97306397306397</v>
      </c>
      <c r="I11" s="18"/>
      <c r="J11" s="62" t="s">
        <v>2089</v>
      </c>
      <c r="K11" s="4">
        <v>15</v>
      </c>
      <c r="L11" s="4">
        <f>0+0+1+0+1+0+0+1+3+0+2+2+2+0+2</f>
        <v>14</v>
      </c>
      <c r="M11" s="4">
        <f>1+1+1+1+1+1+1+1+0+1+1+1+1+1+1</f>
        <v>14</v>
      </c>
      <c r="N11" s="4"/>
      <c r="O11" s="18">
        <f>IF(L11+M11=0,"",L11/(M11+L11)*100)</f>
        <v>50</v>
      </c>
    </row>
    <row r="12" spans="1:15" ht="12.75">
      <c r="A12" t="s">
        <v>1670</v>
      </c>
      <c r="B12" t="s">
        <v>1644</v>
      </c>
      <c r="C12" s="4">
        <v>21</v>
      </c>
      <c r="D12" s="54" t="s">
        <v>2092</v>
      </c>
      <c r="E12" s="4">
        <f>8+8+11+14+13+12+12+13+10+10+12+9+6+11+10+8+10+8+9+6+12</f>
        <v>212</v>
      </c>
      <c r="F12" s="4">
        <f>8+8+5+2+3+4+4+3+6+6+4+7+10+5+6+8+7+8+7+11+5</f>
        <v>127</v>
      </c>
      <c r="G12" s="4"/>
      <c r="H12" s="18">
        <f>IF(E12+F12=0,"",E12/(F12+E12)*100)</f>
        <v>62.53687315634219</v>
      </c>
      <c r="I12" s="18"/>
      <c r="J12" s="62" t="s">
        <v>2069</v>
      </c>
      <c r="K12" s="4">
        <v>15</v>
      </c>
      <c r="L12" s="4">
        <f>1+3+3+0+0+0+2+2+0+1+2+2+1+1</f>
        <v>18</v>
      </c>
      <c r="M12" s="46">
        <f>12+1</f>
        <v>13</v>
      </c>
      <c r="N12" s="4"/>
      <c r="O12" s="18">
        <f>IF(L12+M12=0,"",L12/(M12+L12)*100)</f>
        <v>58.06451612903226</v>
      </c>
    </row>
    <row r="13" spans="1:15" ht="12.75">
      <c r="A13" t="s">
        <v>1692</v>
      </c>
      <c r="B13" t="s">
        <v>1648</v>
      </c>
      <c r="C13" s="4">
        <v>19</v>
      </c>
      <c r="D13" s="54" t="s">
        <v>2093</v>
      </c>
      <c r="E13" s="4">
        <f>2+10+11+14+11+8+8+10+10+13+10+10+7+9+11+8+9+9+11</f>
        <v>181</v>
      </c>
      <c r="F13" s="4">
        <f>1+6+5+2+5+8+8+6+6+3+6+8+9+6+5+8+7+8+6</f>
        <v>113</v>
      </c>
      <c r="G13" s="4">
        <f>1</f>
        <v>1</v>
      </c>
      <c r="H13" s="18">
        <f>IF(E13+F13=0,"",E13/(F13+E13)*100)</f>
        <v>61.564625850340136</v>
      </c>
      <c r="I13" s="18"/>
      <c r="J13" s="62" t="s">
        <v>2069</v>
      </c>
      <c r="K13" s="4">
        <v>14</v>
      </c>
      <c r="L13" s="4">
        <f>1+2+1+0+0+0+3+0+1+1+3+2+0+0</f>
        <v>14</v>
      </c>
      <c r="M13" s="4">
        <f>1+1+1+1+1+1+0+1+1+1+0+1+1+1</f>
        <v>12</v>
      </c>
      <c r="N13" s="4"/>
      <c r="O13" s="18">
        <f>IF(L13+M13=0,"",L13/(M13+L13)*100)</f>
        <v>53.84615384615385</v>
      </c>
    </row>
    <row r="14" spans="1:15" ht="12.75">
      <c r="A14" t="s">
        <v>1679</v>
      </c>
      <c r="B14" t="s">
        <v>1650</v>
      </c>
      <c r="C14" s="4">
        <v>21</v>
      </c>
      <c r="D14" s="54" t="s">
        <v>2092</v>
      </c>
      <c r="E14" s="4">
        <f>11+6+7+12+11+12+3+12+12+13+11+6+11+5+9+7+12+8+10+8+6</f>
        <v>192</v>
      </c>
      <c r="F14" s="4">
        <f>5+10+9+4+5+4+13+4+4+3+5+10+5+11+8+9+4+8+6+9+10</f>
        <v>146</v>
      </c>
      <c r="G14" s="4">
        <f>1</f>
        <v>1</v>
      </c>
      <c r="H14" s="18">
        <f>IF(E14+F14=0,"",E14/(F14+E14)*100)</f>
        <v>56.80473372781065</v>
      </c>
      <c r="I14" s="18"/>
      <c r="J14" s="62" t="s">
        <v>2071</v>
      </c>
      <c r="K14" s="4">
        <v>11</v>
      </c>
      <c r="L14" s="4">
        <v>12</v>
      </c>
      <c r="M14" s="4">
        <v>8</v>
      </c>
      <c r="N14" s="4"/>
      <c r="O14" s="18">
        <f>IF(L14+M14=0,"",L14/(M14+L14)*100)</f>
        <v>60</v>
      </c>
    </row>
    <row r="15" spans="1:15" ht="12.75">
      <c r="A15" t="s">
        <v>1954</v>
      </c>
      <c r="B15" t="s">
        <v>1690</v>
      </c>
      <c r="C15" s="4">
        <v>19</v>
      </c>
      <c r="D15" s="54" t="s">
        <v>2093</v>
      </c>
      <c r="E15" s="4">
        <f>11+12+9+11+12+7+9+8+5+11+12+10+4+4+10+10+8+9+11</f>
        <v>173</v>
      </c>
      <c r="F15" s="4">
        <f>5+4+7+5+4+9+7+8+11+5+4+6+12+12+6+6+8+8+6</f>
        <v>133</v>
      </c>
      <c r="G15" s="4"/>
      <c r="H15" s="18">
        <f>IF(E15+F15=0,"",E15/(F15+E15)*100)</f>
        <v>56.5359477124183</v>
      </c>
      <c r="I15" s="18"/>
      <c r="J15" s="62" t="s">
        <v>2077</v>
      </c>
      <c r="K15" s="4">
        <v>13</v>
      </c>
      <c r="L15" s="4">
        <f>10+3+0+2</f>
        <v>15</v>
      </c>
      <c r="M15" s="4">
        <f>10+0+1+1</f>
        <v>12</v>
      </c>
      <c r="N15" s="4"/>
      <c r="O15" s="18">
        <f>IF(L15+M15=0,"",L15/(M15+L15)*100)</f>
        <v>55.55555555555556</v>
      </c>
    </row>
    <row r="16" spans="1:15" ht="12.75">
      <c r="A16" t="s">
        <v>792</v>
      </c>
      <c r="B16" t="s">
        <v>1646</v>
      </c>
      <c r="C16" s="4">
        <v>15</v>
      </c>
      <c r="D16" s="54" t="s">
        <v>2094</v>
      </c>
      <c r="E16" s="46">
        <f>11+14+10+5+10+4+6+11+11+10+2+8+12+7+12</f>
        <v>133</v>
      </c>
      <c r="F16" s="4">
        <f>5+2+6+11+6+12+10+5+5+6+14+8+4+10+5</f>
        <v>109</v>
      </c>
      <c r="G16" s="4"/>
      <c r="H16" s="18">
        <f>IF(E16+F16=0,"",E16/(F16+E16)*100)</f>
        <v>54.958677685950406</v>
      </c>
      <c r="I16" s="18"/>
      <c r="J16" s="60" t="s">
        <v>2070</v>
      </c>
      <c r="K16" s="4">
        <v>9</v>
      </c>
      <c r="L16" s="4">
        <f>0+1+2+0+1+0+3+0</f>
        <v>7</v>
      </c>
      <c r="M16" s="4">
        <f>2+1+1+1+1+1+0+1</f>
        <v>8</v>
      </c>
      <c r="N16" s="4"/>
      <c r="O16" s="18">
        <f>IF(L16+M16=0,"",L16/(M16+L16)*100)</f>
        <v>46.666666666666664</v>
      </c>
    </row>
    <row r="17" spans="1:15" ht="12.75">
      <c r="A17" t="s">
        <v>2033</v>
      </c>
      <c r="B17" t="s">
        <v>235</v>
      </c>
      <c r="C17" s="4">
        <v>14</v>
      </c>
      <c r="D17" s="54" t="s">
        <v>2095</v>
      </c>
      <c r="E17" s="4">
        <f>13+12+8+11+10+5+7+1+6+10+6+9+11+13</f>
        <v>122</v>
      </c>
      <c r="F17" s="4">
        <f>3+4+7+5+6+11+9+15+10+6+10+7+6+4</f>
        <v>103</v>
      </c>
      <c r="G17" s="4">
        <f>0+0+1</f>
        <v>1</v>
      </c>
      <c r="H17" s="18">
        <f>IF(E17+F17=0,"",E17/(F17+E17)*100)</f>
        <v>54.22222222222223</v>
      </c>
      <c r="I17" s="18"/>
      <c r="J17" s="62" t="s">
        <v>2088</v>
      </c>
      <c r="K17" s="4">
        <v>8</v>
      </c>
      <c r="L17" s="4">
        <f>0+3+1+0+0+3+0</f>
        <v>7</v>
      </c>
      <c r="M17" s="46">
        <f>2+0+1+1+1+0+1</f>
        <v>6</v>
      </c>
      <c r="N17" s="4"/>
      <c r="O17" s="18">
        <f>IF(L17+M17=0,"",L17/(M17+L17)*100)</f>
        <v>53.84615384615385</v>
      </c>
    </row>
    <row r="18" spans="1:15" ht="12.75">
      <c r="A18" t="s">
        <v>1665</v>
      </c>
      <c r="B18" t="s">
        <v>2057</v>
      </c>
      <c r="C18" s="4">
        <v>21</v>
      </c>
      <c r="D18" s="54" t="s">
        <v>2092</v>
      </c>
      <c r="E18" s="4">
        <f>4+14+12+9+5+9+7+8+11+8+10+9+5+2+5+7+14+9+8+11+14</f>
        <v>181</v>
      </c>
      <c r="F18" s="4">
        <f>12+1+4+7+11+7+9+8+5+8+5+7+11+14+11+9+2+7+8+6+3</f>
        <v>155</v>
      </c>
      <c r="G18" s="4">
        <f>0+1+0+0+0+0+0+0+0+0+1</f>
        <v>2</v>
      </c>
      <c r="H18" s="18">
        <f>IF(E18+F18=0,"",E18/(F18+E18)*100)</f>
        <v>53.86904761904761</v>
      </c>
      <c r="I18" s="18"/>
      <c r="J18" s="62" t="s">
        <v>2070</v>
      </c>
      <c r="K18" s="4">
        <v>11</v>
      </c>
      <c r="L18" s="4">
        <f>0+3+1+1+0+0+0+1+0+0</f>
        <v>6</v>
      </c>
      <c r="M18" s="4">
        <f>9+1</f>
        <v>10</v>
      </c>
      <c r="N18" s="4"/>
      <c r="O18" s="18">
        <f>IF(L18+M18=0,"",L18/(M18+L18)*100)</f>
        <v>37.5</v>
      </c>
    </row>
    <row r="19" spans="1:15" ht="12.75">
      <c r="A19" t="s">
        <v>1676</v>
      </c>
      <c r="B19" t="s">
        <v>2075</v>
      </c>
      <c r="C19" s="4">
        <v>21</v>
      </c>
      <c r="D19" s="54" t="s">
        <v>2092</v>
      </c>
      <c r="E19" s="4">
        <f>5+10+6+6+8+9+9+9+10+7+15+6+15+6+12+6+5+8+5+9+12</f>
        <v>178</v>
      </c>
      <c r="F19" s="4">
        <f>11+6+9+10+8+7+8+7+6+9+1+10+1+10+4+10+11+8+11+8+5</f>
        <v>160</v>
      </c>
      <c r="G19" s="4"/>
      <c r="H19" s="18">
        <f>IF(E19+F19=0,"",E19/(F19+E19)*100)</f>
        <v>52.662721893491124</v>
      </c>
      <c r="I19" s="18"/>
      <c r="J19" s="60"/>
      <c r="K19" s="4">
        <v>9</v>
      </c>
      <c r="L19" s="4">
        <f>1+1+2+0+0+0+0+0</f>
        <v>4</v>
      </c>
      <c r="M19" s="4">
        <f>8+1</f>
        <v>9</v>
      </c>
      <c r="N19" s="4"/>
      <c r="O19" s="18">
        <f>IF(L19+M19=0,"",L19/(M19+L19)*100)</f>
        <v>30.76923076923077</v>
      </c>
    </row>
    <row r="20" spans="1:15" ht="12.75">
      <c r="A20" t="s">
        <v>2097</v>
      </c>
      <c r="B20" t="s">
        <v>237</v>
      </c>
      <c r="C20" s="4">
        <v>19</v>
      </c>
      <c r="D20" s="54" t="s">
        <v>2081</v>
      </c>
      <c r="E20" s="4">
        <f>12+5+5+4+6+10+5+9+10+5+10+6+12+13+8+8+10+6+10</f>
        <v>154</v>
      </c>
      <c r="F20" s="4">
        <f>4+11+11+12+10+6+11+7+7+11+6+10+4+3+8+8+6+10+7</f>
        <v>152</v>
      </c>
      <c r="G20" s="4"/>
      <c r="H20" s="18">
        <f>IF(E20+F20=0,"",E20/(F20+E20)*100)</f>
        <v>50.326797385620914</v>
      </c>
      <c r="I20" s="18"/>
      <c r="J20" s="60"/>
      <c r="K20" s="4">
        <v>9</v>
      </c>
      <c r="L20" s="4">
        <v>4</v>
      </c>
      <c r="M20" s="4">
        <v>9</v>
      </c>
      <c r="N20" s="4"/>
      <c r="O20" s="18">
        <f>IF(L20+M20=0,"",L20/(M20+L20)*100)</f>
        <v>30.76923076923077</v>
      </c>
    </row>
    <row r="21" spans="1:15" ht="12.75">
      <c r="A21" t="s">
        <v>2059</v>
      </c>
      <c r="B21" t="s">
        <v>1645</v>
      </c>
      <c r="C21" s="4">
        <v>8</v>
      </c>
      <c r="D21" s="58" t="s">
        <v>2098</v>
      </c>
      <c r="E21" s="4">
        <f>6+10+9+12+2+8+7+11</f>
        <v>65</v>
      </c>
      <c r="F21" s="4">
        <f>10+6+7+4+14+8+10+6</f>
        <v>65</v>
      </c>
      <c r="G21" s="4"/>
      <c r="H21" s="18">
        <f>IF(E21+F21=0,"",E21/(F21+E21)*100)</f>
        <v>50</v>
      </c>
      <c r="I21" s="18"/>
      <c r="J21" s="62" t="s">
        <v>2108</v>
      </c>
      <c r="K21" s="4">
        <v>4</v>
      </c>
      <c r="L21" s="4">
        <f>0+0+2+4</f>
        <v>6</v>
      </c>
      <c r="M21" s="4">
        <f>1+1+1+0</f>
        <v>3</v>
      </c>
      <c r="N21" s="4"/>
      <c r="O21" s="18">
        <f>IF(L21+M21=0,"",L21/(M21+L21)*100)</f>
        <v>66.66666666666666</v>
      </c>
    </row>
    <row r="22" spans="1:15" ht="12.75">
      <c r="A22" t="s">
        <v>2050</v>
      </c>
      <c r="B22" t="s">
        <v>2080</v>
      </c>
      <c r="C22" s="4">
        <v>10</v>
      </c>
      <c r="D22" s="54" t="s">
        <v>2096</v>
      </c>
      <c r="E22" s="4">
        <f>5+3+7+6+12+6+10+7+13+8</f>
        <v>77</v>
      </c>
      <c r="F22" s="4">
        <f>7+13+9+10+4+10+6+9+4+9</f>
        <v>81</v>
      </c>
      <c r="G22" s="4"/>
      <c r="H22" s="18">
        <f>IF(E22+F22=0,"",E22/(F22+E22)*100)</f>
        <v>48.734177215189874</v>
      </c>
      <c r="I22" s="18"/>
      <c r="J22" s="60"/>
      <c r="K22" s="4">
        <v>3</v>
      </c>
      <c r="L22" s="4">
        <f>0+0+0</f>
        <v>0</v>
      </c>
      <c r="M22" s="4">
        <f>1+1+1</f>
        <v>3</v>
      </c>
      <c r="N22" s="4"/>
      <c r="O22" s="18">
        <f>IF(L22+M22=0,"",L22/(M22+L22)*100)</f>
        <v>0</v>
      </c>
    </row>
    <row r="23" spans="1:15" ht="12.75">
      <c r="A23" t="s">
        <v>1683</v>
      </c>
      <c r="B23" t="s">
        <v>2058</v>
      </c>
      <c r="C23" s="4">
        <v>10</v>
      </c>
      <c r="D23" s="54" t="s">
        <v>2096</v>
      </c>
      <c r="E23" s="4">
        <f>4+6+10+10+9+10+9+6+6+3</f>
        <v>73</v>
      </c>
      <c r="F23" s="4">
        <f>4+10+7+7+6+6+7+10+11+14</f>
        <v>82</v>
      </c>
      <c r="G23" s="4">
        <f>1</f>
        <v>1</v>
      </c>
      <c r="H23" s="18">
        <f>IF(E23+F23=0,"",E23/(F23+E23)*100)</f>
        <v>47.096774193548384</v>
      </c>
      <c r="I23" s="18"/>
      <c r="J23" s="60"/>
      <c r="K23" s="4">
        <v>5</v>
      </c>
      <c r="L23" s="4">
        <f>0+0+0+1+0</f>
        <v>1</v>
      </c>
      <c r="M23" s="4">
        <f>1+1+1+1+1</f>
        <v>5</v>
      </c>
      <c r="N23" s="4"/>
      <c r="O23" s="18">
        <f>IF(L23+M23=0,"",L23/(M23+L23)*100)</f>
        <v>16.666666666666664</v>
      </c>
    </row>
    <row r="24" spans="1:15" ht="12.75">
      <c r="A24" t="s">
        <v>525</v>
      </c>
      <c r="B24" s="55" t="s">
        <v>2046</v>
      </c>
      <c r="C24" s="4">
        <v>16</v>
      </c>
      <c r="D24" s="54" t="s">
        <v>2101</v>
      </c>
      <c r="E24" s="4">
        <f>6+4+10+8+3+8+10+10+5+10+6+6+5+8+11+11</f>
        <v>121</v>
      </c>
      <c r="F24" s="4">
        <f>10+12+6+8+13+7+6+6+11+6+10+10+11+8+6+6</f>
        <v>136</v>
      </c>
      <c r="G24" s="4">
        <f>0+0+0+0+0+1</f>
        <v>1</v>
      </c>
      <c r="H24" s="18">
        <f>IF(E24+F24=0,"",E24/(F24+E24)*100)</f>
        <v>47.081712062256805</v>
      </c>
      <c r="J24" s="62" t="s">
        <v>2108</v>
      </c>
      <c r="K24" s="4">
        <v>6</v>
      </c>
      <c r="L24" s="4">
        <f>0+0+0+4+2+3</f>
        <v>9</v>
      </c>
      <c r="M24" s="4">
        <f>1+1+1+0+1+1</f>
        <v>5</v>
      </c>
      <c r="O24" s="18">
        <f>IF(L24+M24=0,"",L24/(M24+L24)*100)</f>
        <v>64.28571428571429</v>
      </c>
    </row>
    <row r="25" spans="1:15" ht="12.75">
      <c r="A25" t="s">
        <v>2107</v>
      </c>
      <c r="B25" t="s">
        <v>1647</v>
      </c>
      <c r="C25" s="4">
        <v>1</v>
      </c>
      <c r="D25" s="54" t="s">
        <v>2106</v>
      </c>
      <c r="E25" s="4">
        <f>8</f>
        <v>8</v>
      </c>
      <c r="F25" s="4">
        <f>9</f>
        <v>9</v>
      </c>
      <c r="G25" s="4"/>
      <c r="H25" s="18">
        <f>IF(E25+F25=0,"",E25/(F25+E25)*100)</f>
        <v>47.05882352941176</v>
      </c>
      <c r="I25" s="18"/>
      <c r="J25" s="60"/>
      <c r="L25" s="4"/>
      <c r="M25" s="4"/>
      <c r="N25" s="4"/>
      <c r="O25" s="18"/>
    </row>
    <row r="26" spans="1:15" ht="12.75">
      <c r="A26" t="s">
        <v>1673</v>
      </c>
      <c r="B26" t="s">
        <v>1661</v>
      </c>
      <c r="C26" s="4">
        <v>21</v>
      </c>
      <c r="D26" s="54" t="s">
        <v>2092</v>
      </c>
      <c r="E26" s="4">
        <f>10+9+1+10+7+9+1+7+9+4+5+10+5+8+11+6+3+8+7+11+8+8</f>
        <v>157</v>
      </c>
      <c r="F26" s="4">
        <f>6+7+6+9+7+15+9+7+12+11+6+11+8+5+10+13+8+9+5+9+9</f>
        <v>182</v>
      </c>
      <c r="G26" s="4"/>
      <c r="H26" s="18">
        <f>IF(E26+F26=0,"",E26/(F26+E26)*100)</f>
        <v>46.312684365781706</v>
      </c>
      <c r="I26" s="18"/>
      <c r="J26" s="62" t="s">
        <v>2072</v>
      </c>
      <c r="K26" s="4">
        <v>8</v>
      </c>
      <c r="L26" s="4">
        <f>1+3+1+1+0+2+0+2</f>
        <v>10</v>
      </c>
      <c r="M26" s="4">
        <f>1+1+1+1+1+1+1+1</f>
        <v>8</v>
      </c>
      <c r="N26" s="4"/>
      <c r="O26" s="18">
        <f>IF(L26+M26=0,"",L26/(M26+L26)*100)</f>
        <v>55.55555555555556</v>
      </c>
    </row>
    <row r="27" spans="1:15" ht="12.75">
      <c r="A27" t="s">
        <v>2076</v>
      </c>
      <c r="B27" t="s">
        <v>2087</v>
      </c>
      <c r="C27" s="4">
        <v>5</v>
      </c>
      <c r="D27" s="58" t="s">
        <v>2102</v>
      </c>
      <c r="E27" s="4">
        <f>9+7+6+7+9</f>
        <v>38</v>
      </c>
      <c r="F27" s="4">
        <f>9+9+10+10+9</f>
        <v>47</v>
      </c>
      <c r="G27" s="4"/>
      <c r="H27" s="18">
        <f>IF(E27+F27=0,"",E27/(F27+E27)*100)</f>
        <v>44.70588235294118</v>
      </c>
      <c r="I27" s="18"/>
      <c r="J27" s="60"/>
      <c r="L27" s="4"/>
      <c r="M27" s="4"/>
      <c r="N27" s="4"/>
      <c r="O27" s="18">
        <f>IF(L27+M27=0,"",L27/(M27+L27)*100)</f>
      </c>
    </row>
    <row r="28" spans="1:15" ht="12.75">
      <c r="A28" t="s">
        <v>2051</v>
      </c>
      <c r="B28" t="s">
        <v>2052</v>
      </c>
      <c r="C28" s="4">
        <v>9</v>
      </c>
      <c r="D28" s="58" t="s">
        <v>2103</v>
      </c>
      <c r="E28" s="4">
        <f>8+6+6+5+2+9+11+8+10</f>
        <v>65</v>
      </c>
      <c r="F28" s="4">
        <f>8+10+10+11+14+7+5+9+7</f>
        <v>81</v>
      </c>
      <c r="G28" s="4"/>
      <c r="H28" s="18">
        <f>IF(E28+F28=0,"",E28/(F28+E28)*100)</f>
        <v>44.52054794520548</v>
      </c>
      <c r="I28" s="18"/>
      <c r="J28" s="60"/>
      <c r="K28" s="4">
        <v>3</v>
      </c>
      <c r="L28" s="4">
        <f>1+1+0</f>
        <v>2</v>
      </c>
      <c r="M28" s="4">
        <f>1+1+1</f>
        <v>3</v>
      </c>
      <c r="N28" s="4"/>
      <c r="O28" s="18">
        <f>IF(L28+M28=0,"",L28/(M28+L28)*100)</f>
        <v>40</v>
      </c>
    </row>
    <row r="29" spans="1:15" ht="12.75">
      <c r="A29" t="s">
        <v>2042</v>
      </c>
      <c r="B29" t="s">
        <v>1642</v>
      </c>
      <c r="C29" s="4">
        <v>10</v>
      </c>
      <c r="D29" s="54" t="s">
        <v>2096</v>
      </c>
      <c r="E29" s="4">
        <f>6+8+6+7+9+7+8+7+10+2</f>
        <v>70</v>
      </c>
      <c r="F29" s="4">
        <f>10+8+10+9+7+9+8+9+7+15</f>
        <v>92</v>
      </c>
      <c r="G29" s="4"/>
      <c r="H29" s="18">
        <f>IF(E29+F29=0,"",E29/(F29+E29)*100)</f>
        <v>43.20987654320987</v>
      </c>
      <c r="J29" s="61"/>
      <c r="K29" s="4">
        <v>2</v>
      </c>
      <c r="L29" s="4">
        <v>4</v>
      </c>
      <c r="M29" s="4">
        <v>2</v>
      </c>
      <c r="O29" s="18">
        <f>IF(L29+M29=0,"",L29/(M29+L29)*100)</f>
        <v>66.66666666666666</v>
      </c>
    </row>
    <row r="30" spans="1:15" ht="12.75">
      <c r="A30" t="s">
        <v>2060</v>
      </c>
      <c r="B30" t="s">
        <v>1660</v>
      </c>
      <c r="C30" s="4">
        <v>7</v>
      </c>
      <c r="D30" s="58" t="s">
        <v>2099</v>
      </c>
      <c r="E30" s="4">
        <f>11+8+10+9+4+4+1</f>
        <v>47</v>
      </c>
      <c r="F30" s="4">
        <f>5+8+6+7+12+13+16</f>
        <v>67</v>
      </c>
      <c r="G30" s="4"/>
      <c r="H30" s="18">
        <f>IF(E30+F30=0,"",E30/(F30+E30)*100)</f>
        <v>41.228070175438596</v>
      </c>
      <c r="I30" s="18"/>
      <c r="J30" s="60"/>
      <c r="K30" s="4">
        <v>3</v>
      </c>
      <c r="L30" s="4">
        <f>0+0+0</f>
        <v>0</v>
      </c>
      <c r="M30" s="4">
        <f>1+1+1</f>
        <v>3</v>
      </c>
      <c r="N30" s="4"/>
      <c r="O30" s="18">
        <f>IF(L30+M30=0,"",L30/(M30+L30)*100)</f>
        <v>0</v>
      </c>
    </row>
    <row r="31" spans="1:15" ht="12.75">
      <c r="A31" t="s">
        <v>2086</v>
      </c>
      <c r="B31" s="55" t="s">
        <v>1652</v>
      </c>
      <c r="C31" s="4">
        <v>2</v>
      </c>
      <c r="D31" s="58" t="s">
        <v>2100</v>
      </c>
      <c r="E31" s="4">
        <f>8+6</f>
        <v>14</v>
      </c>
      <c r="F31" s="4">
        <f>9+11</f>
        <v>20</v>
      </c>
      <c r="G31" s="4"/>
      <c r="H31" s="18">
        <f>IF(E31+F31=0,"",E31/(F31+E31)*100)</f>
        <v>41.17647058823529</v>
      </c>
      <c r="J31" s="60"/>
      <c r="L31" s="4"/>
      <c r="M31" s="4"/>
      <c r="O31" s="18">
        <f>IF(L31+M31=0,"",L31/(M31+L31)*100)</f>
      </c>
    </row>
    <row r="32" spans="1:15" ht="12.75">
      <c r="A32" t="s">
        <v>236</v>
      </c>
      <c r="B32" t="s">
        <v>1659</v>
      </c>
      <c r="C32" s="4">
        <v>12</v>
      </c>
      <c r="D32" s="54" t="s">
        <v>2104</v>
      </c>
      <c r="E32" s="4">
        <f>4+3+4+6+9+4+13+4+2+3+5+5</f>
        <v>62</v>
      </c>
      <c r="F32" s="4">
        <f>12+13+12+10+8+12+3+12+14+13+12+11</f>
        <v>132</v>
      </c>
      <c r="G32" s="4">
        <f>1</f>
        <v>1</v>
      </c>
      <c r="H32" s="18">
        <f>IF(E32+F32=0,"",E32/(F32+E32)*100)</f>
        <v>31.958762886597935</v>
      </c>
      <c r="J32" s="61"/>
      <c r="K32" s="4">
        <v>1</v>
      </c>
      <c r="L32" s="4">
        <f>0</f>
        <v>0</v>
      </c>
      <c r="M32" s="4">
        <f>1</f>
        <v>1</v>
      </c>
      <c r="O32" s="18">
        <f>IF(L32+M32=0,"",L32/(M32+L32)*100)</f>
        <v>0</v>
      </c>
    </row>
    <row r="33" spans="1:15" ht="12.75">
      <c r="A33" t="s">
        <v>2083</v>
      </c>
      <c r="B33" t="s">
        <v>2084</v>
      </c>
      <c r="C33" s="4">
        <v>1</v>
      </c>
      <c r="D33" s="54" t="s">
        <v>2106</v>
      </c>
      <c r="E33" s="4">
        <f>5</f>
        <v>5</v>
      </c>
      <c r="F33" s="4">
        <f>12</f>
        <v>12</v>
      </c>
      <c r="G33" s="4"/>
      <c r="H33" s="18">
        <f>IF(E33+F33=0,"",E33/(F33+E33)*100)</f>
        <v>29.411764705882355</v>
      </c>
      <c r="I33" s="18"/>
      <c r="J33" s="60"/>
      <c r="L33" s="4"/>
      <c r="M33" s="4"/>
      <c r="N33" s="4"/>
      <c r="O33" s="18"/>
    </row>
    <row r="34" ht="12.75">
      <c r="J34" s="61"/>
    </row>
    <row r="35" spans="1:15" ht="12.75">
      <c r="A35" t="s">
        <v>1684</v>
      </c>
      <c r="B35" t="s">
        <v>1660</v>
      </c>
      <c r="C35" s="4">
        <v>13</v>
      </c>
      <c r="D35" s="54" t="s">
        <v>2054</v>
      </c>
      <c r="E35" s="4">
        <f>2+5+12+7+7+8+13+14+11+10+14+10+10</f>
        <v>123</v>
      </c>
      <c r="F35" s="4">
        <f>14+11+4+9+9+8+3+2+4+6+2+6+6</f>
        <v>84</v>
      </c>
      <c r="G35" s="4">
        <f>0+0+0+0+0+0+0+0+1</f>
        <v>1</v>
      </c>
      <c r="H35" s="18">
        <f>IF(E35+F35=0,"",E35/(F35+E35)*100)</f>
        <v>59.42028985507246</v>
      </c>
      <c r="I35" s="18"/>
      <c r="J35" s="62" t="s">
        <v>2074</v>
      </c>
      <c r="K35" s="4">
        <v>8</v>
      </c>
      <c r="L35" s="4">
        <v>9</v>
      </c>
      <c r="M35" s="4">
        <v>8</v>
      </c>
      <c r="N35" s="4"/>
      <c r="O35" s="18">
        <f>IF(L35+M35=0,"",L35/(M35+L35)*100)</f>
        <v>52.94117647058824</v>
      </c>
    </row>
    <row r="36" spans="1:15" ht="12.75">
      <c r="A36" t="s">
        <v>1667</v>
      </c>
      <c r="B36" t="s">
        <v>1645</v>
      </c>
      <c r="C36" s="4">
        <v>13</v>
      </c>
      <c r="D36" s="54" t="s">
        <v>2048</v>
      </c>
      <c r="E36" s="4">
        <f>13+11+11+10+9+9+12+7+6+9+7+6+2</f>
        <v>112</v>
      </c>
      <c r="F36" s="4">
        <f>3+5+5+6+7+7+4+9+10+6+9+10+14</f>
        <v>95</v>
      </c>
      <c r="G36" s="4">
        <f>0+0+0+0+0+0+0+0+0+1</f>
        <v>1</v>
      </c>
      <c r="H36" s="18">
        <f>IF(E36+F36=0,"",E36/(F36+E36)*100)</f>
        <v>54.106280193236714</v>
      </c>
      <c r="I36" s="18"/>
      <c r="J36" s="62" t="s">
        <v>2072</v>
      </c>
      <c r="K36" s="4">
        <v>8</v>
      </c>
      <c r="L36" s="4">
        <f>1+1+1+0+0+3+0+0</f>
        <v>6</v>
      </c>
      <c r="M36" s="4">
        <f>1+1+1+1+1+1+1+1</f>
        <v>8</v>
      </c>
      <c r="N36" s="4"/>
      <c r="O36" s="18">
        <f>IF(L36+M36=0,"",L36/(M36+L36)*100)</f>
        <v>42.857142857142854</v>
      </c>
    </row>
    <row r="37" spans="1:15" ht="12.75">
      <c r="A37" s="57" t="s">
        <v>2038</v>
      </c>
      <c r="B37" s="57" t="s">
        <v>2045</v>
      </c>
      <c r="C37" s="4">
        <v>10</v>
      </c>
      <c r="D37" s="54" t="s">
        <v>2078</v>
      </c>
      <c r="E37" s="4">
        <f>2+8+7+13+11+10+9+12+10</f>
        <v>82</v>
      </c>
      <c r="F37" s="4">
        <f>3+8+9+3+5+6+8+4+6</f>
        <v>52</v>
      </c>
      <c r="G37" s="4"/>
      <c r="H37" s="18">
        <f>IF(E37+F37=0,"",E37/(F37+E37)*100)</f>
        <v>61.19402985074627</v>
      </c>
      <c r="I37" s="18"/>
      <c r="J37" s="62" t="s">
        <v>2070</v>
      </c>
      <c r="K37" s="4">
        <v>5</v>
      </c>
      <c r="L37" s="4">
        <f>3+0+1+1+0</f>
        <v>5</v>
      </c>
      <c r="M37" s="4">
        <f>0+1+1+1+1</f>
        <v>4</v>
      </c>
      <c r="N37" s="4"/>
      <c r="O37" s="18">
        <f>IF(L37+M37=0,"",L37/(M37+L37)*100)</f>
        <v>55.55555555555556</v>
      </c>
    </row>
    <row r="38" spans="1:15" ht="12.75">
      <c r="A38" t="s">
        <v>1952</v>
      </c>
      <c r="B38" t="s">
        <v>1653</v>
      </c>
      <c r="C38" s="4">
        <v>11</v>
      </c>
      <c r="D38" s="54" t="s">
        <v>2040</v>
      </c>
      <c r="E38" s="4">
        <f>10+5+7+7+8+10+11+7+7+6+2</f>
        <v>80</v>
      </c>
      <c r="F38" s="4">
        <f>6+11+9+9+8+7+5+9+8+10+6</f>
        <v>88</v>
      </c>
      <c r="G38" s="4">
        <f>0+0+0+0+0+0+0+0+1</f>
        <v>1</v>
      </c>
      <c r="H38" s="18">
        <f aca="true" t="shared" si="0" ref="H38:H47">IF(E38+F38=0,"",E38/(F38+E38)*100)</f>
        <v>47.61904761904761</v>
      </c>
      <c r="I38" s="18"/>
      <c r="J38" s="60"/>
      <c r="K38" s="4">
        <v>3</v>
      </c>
      <c r="L38" s="4">
        <f>0+2+1</f>
        <v>3</v>
      </c>
      <c r="M38" s="4">
        <f>1+1+1</f>
        <v>3</v>
      </c>
      <c r="N38" s="4"/>
      <c r="O38" s="18">
        <f aca="true" t="shared" si="1" ref="O38:O47">IF(L38+M38=0,"",L38/(M38+L38)*100)</f>
        <v>50</v>
      </c>
    </row>
    <row r="39" spans="1:15" ht="12.75">
      <c r="A39" t="s">
        <v>524</v>
      </c>
      <c r="B39" t="s">
        <v>1652</v>
      </c>
      <c r="C39" s="4">
        <v>10</v>
      </c>
      <c r="D39" s="54" t="s">
        <v>2061</v>
      </c>
      <c r="E39" s="4">
        <f>3+5+8+8+11+3+6+9+6+10</f>
        <v>69</v>
      </c>
      <c r="F39" s="4">
        <f>6+11+8+8+5+13+10+7+10+7</f>
        <v>85</v>
      </c>
      <c r="G39" s="4"/>
      <c r="H39" s="18">
        <f>IF(E39+F39=0,"",E39/(F39+E39)*100)</f>
        <v>44.8051948051948</v>
      </c>
      <c r="I39" s="18"/>
      <c r="J39" s="62" t="s">
        <v>2073</v>
      </c>
      <c r="K39" s="4">
        <v>3</v>
      </c>
      <c r="L39" s="4">
        <f>1+2+3</f>
        <v>6</v>
      </c>
      <c r="M39" s="4">
        <f>1+1+1</f>
        <v>3</v>
      </c>
      <c r="N39" s="4"/>
      <c r="O39" s="18">
        <f>IF(L39+M39=0,"",L39/(M39+L39)*100)</f>
        <v>66.66666666666666</v>
      </c>
    </row>
    <row r="40" spans="1:15" ht="12.75">
      <c r="A40" t="s">
        <v>1695</v>
      </c>
      <c r="B40" s="55" t="s">
        <v>2047</v>
      </c>
      <c r="C40" s="4">
        <v>10</v>
      </c>
      <c r="D40" s="54" t="s">
        <v>2039</v>
      </c>
      <c r="E40" s="4">
        <f>6+9+3+8+8+7+6+9+5+7</f>
        <v>68</v>
      </c>
      <c r="F40" s="4">
        <f>10+7+13+8+8+9+10+9+11+9</f>
        <v>94</v>
      </c>
      <c r="G40" s="4"/>
      <c r="H40" s="18">
        <f t="shared" si="0"/>
        <v>41.9753086419753</v>
      </c>
      <c r="I40" s="18"/>
      <c r="J40" s="60"/>
      <c r="K40" s="4">
        <v>1</v>
      </c>
      <c r="L40" s="4">
        <f>1</f>
        <v>1</v>
      </c>
      <c r="M40" s="4">
        <f>1</f>
        <v>1</v>
      </c>
      <c r="N40" s="4"/>
      <c r="O40" s="18">
        <f t="shared" si="1"/>
        <v>50</v>
      </c>
    </row>
    <row r="41" spans="1:15" ht="12.75">
      <c r="A41" t="s">
        <v>1675</v>
      </c>
      <c r="B41" t="s">
        <v>1642</v>
      </c>
      <c r="C41" s="4">
        <v>11</v>
      </c>
      <c r="D41" s="54" t="s">
        <v>2035</v>
      </c>
      <c r="E41" s="4">
        <f>4+8+9+6+8+4+6+1+4+3+5</f>
        <v>58</v>
      </c>
      <c r="F41" s="4">
        <f>12+8+7+10+8+12+10+15+12+13+11</f>
        <v>118</v>
      </c>
      <c r="G41" s="4"/>
      <c r="H41" s="18">
        <f t="shared" si="0"/>
        <v>32.95454545454545</v>
      </c>
      <c r="I41" s="18"/>
      <c r="J41" s="60"/>
      <c r="K41" s="4">
        <v>1</v>
      </c>
      <c r="L41" s="4">
        <f>0</f>
        <v>0</v>
      </c>
      <c r="M41" s="4">
        <f>1</f>
        <v>1</v>
      </c>
      <c r="N41" s="4"/>
      <c r="O41" s="18">
        <f t="shared" si="1"/>
        <v>0</v>
      </c>
    </row>
    <row r="42" spans="1:15" ht="12.75">
      <c r="A42" t="s">
        <v>1951</v>
      </c>
      <c r="B42" t="s">
        <v>1657</v>
      </c>
      <c r="C42" s="4">
        <v>10</v>
      </c>
      <c r="D42" s="54" t="s">
        <v>2053</v>
      </c>
      <c r="E42" s="4">
        <f>5+5+6+5+6+2+4+6+7+9</f>
        <v>55</v>
      </c>
      <c r="F42" s="4">
        <f>11+11+10+11+10+14+12+10+9+7</f>
        <v>105</v>
      </c>
      <c r="G42" s="4"/>
      <c r="H42" s="18">
        <f>IF(E42+F42=0,"",E42/(F42+E42)*100)</f>
        <v>34.375</v>
      </c>
      <c r="I42" s="18"/>
      <c r="J42" s="60"/>
      <c r="K42" s="4">
        <v>1</v>
      </c>
      <c r="L42" s="4">
        <f>0</f>
        <v>0</v>
      </c>
      <c r="M42" s="4">
        <f>1</f>
        <v>1</v>
      </c>
      <c r="N42" s="4"/>
      <c r="O42" s="18">
        <f>IF(L42+M42=0,"",L42/(M42+L42)*100)</f>
        <v>0</v>
      </c>
    </row>
    <row r="43" spans="1:15" ht="12.75">
      <c r="A43" t="s">
        <v>1950</v>
      </c>
      <c r="B43" t="s">
        <v>1641</v>
      </c>
      <c r="C43" s="4">
        <v>8</v>
      </c>
      <c r="D43" s="54" t="s">
        <v>2036</v>
      </c>
      <c r="E43" s="4">
        <f>2+6+5+9+11+3+6+6+3</f>
        <v>51</v>
      </c>
      <c r="F43" s="4">
        <f>5+10+11+7+5+13+10+10+8</f>
        <v>79</v>
      </c>
      <c r="G43" s="4"/>
      <c r="H43" s="18">
        <f t="shared" si="0"/>
        <v>39.23076923076923</v>
      </c>
      <c r="I43" s="18"/>
      <c r="J43" s="60"/>
      <c r="K43" s="4">
        <v>2</v>
      </c>
      <c r="L43" s="4">
        <f>0+0</f>
        <v>0</v>
      </c>
      <c r="M43" s="4">
        <f>1+1</f>
        <v>2</v>
      </c>
      <c r="N43" s="4"/>
      <c r="O43" s="18">
        <f t="shared" si="1"/>
        <v>0</v>
      </c>
    </row>
    <row r="44" spans="1:15" ht="12.75">
      <c r="A44" t="s">
        <v>236</v>
      </c>
      <c r="B44" t="s">
        <v>1654</v>
      </c>
      <c r="C44" s="4">
        <v>8</v>
      </c>
      <c r="D44" s="54" t="s">
        <v>2041</v>
      </c>
      <c r="E44" s="4">
        <f>7+6+1+7+8+10+5+6</f>
        <v>50</v>
      </c>
      <c r="F44" s="4">
        <f>9+10+15+9+8+7+11+10</f>
        <v>79</v>
      </c>
      <c r="G44" s="4"/>
      <c r="H44" s="18">
        <f t="shared" si="0"/>
        <v>38.759689922480625</v>
      </c>
      <c r="J44" s="61"/>
      <c r="K44" s="4">
        <v>1</v>
      </c>
      <c r="L44" s="4">
        <f>1</f>
        <v>1</v>
      </c>
      <c r="M44" s="4">
        <f>1</f>
        <v>1</v>
      </c>
      <c r="O44" s="18">
        <f t="shared" si="1"/>
        <v>50</v>
      </c>
    </row>
    <row r="45" spans="1:15" ht="12.75">
      <c r="A45" t="s">
        <v>2055</v>
      </c>
      <c r="B45" t="s">
        <v>2056</v>
      </c>
      <c r="C45" s="4">
        <v>7</v>
      </c>
      <c r="D45" s="58" t="s">
        <v>2082</v>
      </c>
      <c r="E45" s="4">
        <f>10+7+4+2+8+7+6</f>
        <v>44</v>
      </c>
      <c r="F45" s="4">
        <f>7+9+12+14+8+9+11</f>
        <v>70</v>
      </c>
      <c r="G45" s="4"/>
      <c r="H45" s="18">
        <f>IF(E45+F45=0,"",E45/(F45+E45)*100)</f>
        <v>38.59649122807017</v>
      </c>
      <c r="I45" s="18"/>
      <c r="J45" s="60"/>
      <c r="K45" s="4">
        <v>1</v>
      </c>
      <c r="L45" s="4">
        <f>0</f>
        <v>0</v>
      </c>
      <c r="M45" s="4">
        <f>1</f>
        <v>1</v>
      </c>
      <c r="N45" s="4"/>
      <c r="O45" s="18">
        <f>IF(L45+M45=0,"",L45/(M45+L45)*100)</f>
        <v>0</v>
      </c>
    </row>
    <row r="46" spans="1:15" ht="12.75">
      <c r="A46" t="s">
        <v>1669</v>
      </c>
      <c r="B46" t="s">
        <v>1651</v>
      </c>
      <c r="C46" s="4">
        <v>8</v>
      </c>
      <c r="D46" s="54" t="s">
        <v>2034</v>
      </c>
      <c r="E46" s="4">
        <f>10+7+4+5+3+2+3+4</f>
        <v>38</v>
      </c>
      <c r="F46" s="4">
        <f>6+9+12+11+13+14+13+12</f>
        <v>90</v>
      </c>
      <c r="G46" s="4"/>
      <c r="H46" s="18">
        <f t="shared" si="0"/>
        <v>29.6875</v>
      </c>
      <c r="I46" s="18"/>
      <c r="J46" s="60"/>
      <c r="K46" s="4">
        <v>1</v>
      </c>
      <c r="L46" s="4">
        <f>1</f>
        <v>1</v>
      </c>
      <c r="M46" s="4">
        <f>1</f>
        <v>1</v>
      </c>
      <c r="N46" s="4"/>
      <c r="O46" s="18">
        <f t="shared" si="1"/>
        <v>50</v>
      </c>
    </row>
    <row r="47" spans="1:15" ht="12.75">
      <c r="A47" t="s">
        <v>526</v>
      </c>
      <c r="B47" t="s">
        <v>1647</v>
      </c>
      <c r="C47" s="4">
        <v>6</v>
      </c>
      <c r="D47" s="54" t="s">
        <v>2037</v>
      </c>
      <c r="E47" s="4">
        <f>4+5+4+7+10+6</f>
        <v>36</v>
      </c>
      <c r="F47" s="4">
        <f>12+11+12+9+6+10</f>
        <v>60</v>
      </c>
      <c r="G47" s="4"/>
      <c r="H47" s="18">
        <f t="shared" si="0"/>
        <v>37.5</v>
      </c>
      <c r="J47" s="61"/>
      <c r="K47" s="4">
        <v>1</v>
      </c>
      <c r="L47" s="4">
        <f>0</f>
        <v>0</v>
      </c>
      <c r="M47" s="4">
        <f>1</f>
        <v>1</v>
      </c>
      <c r="O47" s="18">
        <f t="shared" si="1"/>
        <v>0</v>
      </c>
    </row>
    <row r="48" spans="1:15" ht="12.75">
      <c r="A48" t="s">
        <v>1668</v>
      </c>
      <c r="B48" t="s">
        <v>1647</v>
      </c>
      <c r="C48" s="4">
        <v>4</v>
      </c>
      <c r="D48" s="15" t="s">
        <v>234</v>
      </c>
      <c r="E48" s="4">
        <f>10+12+3+5</f>
        <v>30</v>
      </c>
      <c r="F48" s="4">
        <f>5+4+13+11</f>
        <v>33</v>
      </c>
      <c r="G48" s="4">
        <f>1+0</f>
        <v>1</v>
      </c>
      <c r="H48" s="18">
        <f>IF(E48+F48=0,"",(E48+G48*0.5)/(F48+E48+G48)*100)</f>
        <v>47.65625</v>
      </c>
      <c r="I48" s="18"/>
      <c r="J48" s="62" t="s">
        <v>2073</v>
      </c>
      <c r="K48" s="4">
        <v>2</v>
      </c>
      <c r="L48" s="4">
        <f>0+2</f>
        <v>2</v>
      </c>
      <c r="M48" s="4">
        <f>1+1</f>
        <v>2</v>
      </c>
      <c r="N48" s="4"/>
      <c r="O48" s="18">
        <f>IF(L48+M48=0,"",(L48+N48/2)/(M48+L48+N48)*100)</f>
        <v>50</v>
      </c>
    </row>
    <row r="49" spans="1:15" ht="12.75">
      <c r="A49" t="s">
        <v>2063</v>
      </c>
      <c r="B49" s="55" t="s">
        <v>1652</v>
      </c>
      <c r="C49" s="4">
        <v>4</v>
      </c>
      <c r="D49" s="58" t="s">
        <v>2079</v>
      </c>
      <c r="E49" s="4">
        <f>7+8+9+5</f>
        <v>29</v>
      </c>
      <c r="F49" s="4">
        <f>9+8+7+11</f>
        <v>35</v>
      </c>
      <c r="G49" s="4"/>
      <c r="H49" s="18">
        <f>IF(E49+F49=0,"",(E49+G49*0.5)/(F49+E49+G49)*100)</f>
        <v>45.3125</v>
      </c>
      <c r="I49" s="18"/>
      <c r="J49" s="62"/>
      <c r="K49" s="4">
        <v>1</v>
      </c>
      <c r="L49" s="4">
        <f>0</f>
        <v>0</v>
      </c>
      <c r="M49" s="4">
        <f>1</f>
        <v>1</v>
      </c>
      <c r="O49" s="18">
        <f>IF(L49+M49=0,"",L49/(M49+L49)*100)</f>
        <v>0</v>
      </c>
    </row>
    <row r="50" spans="1:15" ht="12.75">
      <c r="A50" t="s">
        <v>1666</v>
      </c>
      <c r="B50" t="s">
        <v>235</v>
      </c>
      <c r="C50" s="4">
        <v>3</v>
      </c>
      <c r="D50" s="15" t="s">
        <v>809</v>
      </c>
      <c r="E50" s="4">
        <f>5+11+12</f>
        <v>28</v>
      </c>
      <c r="F50" s="4">
        <f>11+5+4</f>
        <v>20</v>
      </c>
      <c r="G50" s="4"/>
      <c r="H50" s="18">
        <f>IF(E50+F50=0,"",E50/(F50+E50)*100)</f>
        <v>58.333333333333336</v>
      </c>
      <c r="J50" s="61"/>
      <c r="K50" s="4">
        <v>2</v>
      </c>
      <c r="L50" s="4">
        <f>0+1</f>
        <v>1</v>
      </c>
      <c r="M50" s="4">
        <f>1+1</f>
        <v>2</v>
      </c>
      <c r="O50" s="18">
        <f>IF(L50+M50=0,"",L50/(M50+L50)*100)</f>
        <v>33.33333333333333</v>
      </c>
    </row>
    <row r="51" spans="1:15" ht="12.75">
      <c r="A51" t="s">
        <v>1671</v>
      </c>
      <c r="B51" t="s">
        <v>1657</v>
      </c>
      <c r="C51" s="4">
        <v>3</v>
      </c>
      <c r="D51" s="15" t="s">
        <v>1698</v>
      </c>
      <c r="E51" s="4">
        <f>10+9+8</f>
        <v>27</v>
      </c>
      <c r="F51" s="4">
        <f>6+7+1+8</f>
        <v>22</v>
      </c>
      <c r="G51" s="4"/>
      <c r="H51" s="18">
        <f>IF(E51+F51=0,"",E51/(F51+E51)*100)</f>
        <v>55.10204081632652</v>
      </c>
      <c r="I51" s="18"/>
      <c r="J51" s="60"/>
      <c r="K51" s="4">
        <v>1</v>
      </c>
      <c r="L51" s="4">
        <v>0</v>
      </c>
      <c r="M51" s="4">
        <v>1</v>
      </c>
      <c r="N51" s="4"/>
      <c r="O51" s="18">
        <f aca="true" t="shared" si="2" ref="O51:O65">IF(L51+M51=0,"",L51/(M51+L51)*100)</f>
        <v>0</v>
      </c>
    </row>
    <row r="52" spans="1:15" ht="12.75">
      <c r="A52" t="s">
        <v>1678</v>
      </c>
      <c r="B52" t="s">
        <v>1648</v>
      </c>
      <c r="C52" s="4">
        <v>3</v>
      </c>
      <c r="D52" s="15" t="s">
        <v>1698</v>
      </c>
      <c r="E52" s="4">
        <f>12+7+6</f>
        <v>25</v>
      </c>
      <c r="F52" s="4">
        <f>4+9+7</f>
        <v>20</v>
      </c>
      <c r="G52" s="4"/>
      <c r="H52" s="18">
        <f>IF(E52+F52=0,"",E52/(F52+E52)*100)</f>
        <v>55.55555555555556</v>
      </c>
      <c r="I52" s="18"/>
      <c r="J52" s="60"/>
      <c r="K52" s="4">
        <v>1</v>
      </c>
      <c r="L52" s="4">
        <v>0</v>
      </c>
      <c r="M52" s="4">
        <v>1</v>
      </c>
      <c r="N52" s="4"/>
      <c r="O52" s="18">
        <f t="shared" si="2"/>
        <v>0</v>
      </c>
    </row>
    <row r="53" spans="1:15" ht="12.75">
      <c r="A53" t="s">
        <v>1953</v>
      </c>
      <c r="B53" t="s">
        <v>2043</v>
      </c>
      <c r="C53" s="4">
        <v>4</v>
      </c>
      <c r="D53" s="15" t="s">
        <v>2044</v>
      </c>
      <c r="E53" s="4">
        <f>2+9+11+2</f>
        <v>24</v>
      </c>
      <c r="F53" s="4">
        <f>4+6+5+2</f>
        <v>17</v>
      </c>
      <c r="G53" s="4">
        <f>0+1</f>
        <v>1</v>
      </c>
      <c r="H53" s="18">
        <f>IF(E53+F53=0,"",(E53+G53*0.5)/(F53+E53+G53)*100)</f>
        <v>58.333333333333336</v>
      </c>
      <c r="I53" s="18"/>
      <c r="J53" s="60"/>
      <c r="K53" s="4">
        <v>2</v>
      </c>
      <c r="L53" s="4">
        <f>1+0</f>
        <v>1</v>
      </c>
      <c r="M53" s="4">
        <f>1+1</f>
        <v>2</v>
      </c>
      <c r="N53" s="4"/>
      <c r="O53" s="18">
        <f t="shared" si="2"/>
        <v>33.33333333333333</v>
      </c>
    </row>
    <row r="54" spans="1:15" ht="12.75">
      <c r="A54" t="s">
        <v>1693</v>
      </c>
      <c r="B54" t="s">
        <v>1948</v>
      </c>
      <c r="C54" s="4">
        <v>3</v>
      </c>
      <c r="D54" s="15" t="s">
        <v>233</v>
      </c>
      <c r="E54" s="4">
        <f>6+7+9</f>
        <v>22</v>
      </c>
      <c r="F54" s="4">
        <f>7+9+7</f>
        <v>23</v>
      </c>
      <c r="G54" s="4"/>
      <c r="H54" s="18">
        <f>IF(E54+F54=0,"",E54/(F54+E54)*100)</f>
        <v>48.888888888888886</v>
      </c>
      <c r="I54" s="18"/>
      <c r="J54" s="60"/>
      <c r="K54" s="4">
        <v>1</v>
      </c>
      <c r="L54" s="4">
        <v>0</v>
      </c>
      <c r="M54" s="4">
        <v>1</v>
      </c>
      <c r="N54" s="4"/>
      <c r="O54" s="18">
        <f>IF(L54+M54=0,"",L54/(M54+L54)*100)</f>
        <v>0</v>
      </c>
    </row>
    <row r="55" spans="1:15" ht="12.75">
      <c r="A55" t="s">
        <v>1694</v>
      </c>
      <c r="B55" t="s">
        <v>1646</v>
      </c>
      <c r="C55" s="4">
        <v>3</v>
      </c>
      <c r="D55" s="15" t="s">
        <v>523</v>
      </c>
      <c r="E55" s="4">
        <f>5+8+8</f>
        <v>21</v>
      </c>
      <c r="F55" s="4">
        <f>3+8+8</f>
        <v>19</v>
      </c>
      <c r="G55" s="4"/>
      <c r="H55" s="18">
        <f>IF(E55+F55=0,"",E55/(F55+E55)*100)</f>
        <v>52.5</v>
      </c>
      <c r="I55" s="18"/>
      <c r="J55" s="60"/>
      <c r="L55" s="4"/>
      <c r="M55" s="4"/>
      <c r="N55" s="4"/>
      <c r="O55" s="18"/>
    </row>
    <row r="56" spans="1:15" ht="12.75">
      <c r="A56" t="s">
        <v>1955</v>
      </c>
      <c r="B56" t="s">
        <v>1949</v>
      </c>
      <c r="C56" s="4">
        <v>3</v>
      </c>
      <c r="D56" s="15" t="s">
        <v>522</v>
      </c>
      <c r="E56" s="4">
        <f>0+6+9+5</f>
        <v>20</v>
      </c>
      <c r="F56" s="4">
        <f>1+10+7+2</f>
        <v>20</v>
      </c>
      <c r="G56" s="4"/>
      <c r="H56" s="18">
        <f>IF(E56+F56=0,"",E56/(F56+E56)*100)</f>
        <v>50</v>
      </c>
      <c r="I56" s="18"/>
      <c r="J56" s="60"/>
      <c r="K56" s="4">
        <v>1</v>
      </c>
      <c r="L56" s="4">
        <v>0</v>
      </c>
      <c r="M56" s="4">
        <v>1</v>
      </c>
      <c r="N56" s="4"/>
      <c r="O56" s="18">
        <f>IF(L56+M56=0,"",L56/(M56+L56)*100)</f>
        <v>0</v>
      </c>
    </row>
    <row r="57" spans="1:15" ht="12.75">
      <c r="A57" t="s">
        <v>2049</v>
      </c>
      <c r="B57" t="s">
        <v>1647</v>
      </c>
      <c r="C57" s="4">
        <v>4</v>
      </c>
      <c r="D57" s="58" t="s">
        <v>2062</v>
      </c>
      <c r="E57" s="4">
        <f>5+4+2+8</f>
        <v>19</v>
      </c>
      <c r="F57" s="4">
        <f>11+12+14+8</f>
        <v>45</v>
      </c>
      <c r="G57" s="4"/>
      <c r="H57" s="18">
        <f>IF(E57+F57=0,"",E57/(F57+E57)*100)</f>
        <v>29.6875</v>
      </c>
      <c r="I57" s="18"/>
      <c r="J57" s="60"/>
      <c r="L57" s="4"/>
      <c r="M57" s="4"/>
      <c r="N57" s="4"/>
      <c r="O57" s="18">
        <f>IF(L57+M57=0,"",L57/(M57+L57)*100)</f>
      </c>
    </row>
    <row r="58" spans="1:15" ht="12.75">
      <c r="A58" t="s">
        <v>1677</v>
      </c>
      <c r="B58" t="s">
        <v>1646</v>
      </c>
      <c r="C58" s="4">
        <v>4</v>
      </c>
      <c r="D58" s="15" t="s">
        <v>1946</v>
      </c>
      <c r="E58" s="4">
        <f>4+6+8+0</f>
        <v>18</v>
      </c>
      <c r="F58" s="4">
        <f>12+7+8+8</f>
        <v>35</v>
      </c>
      <c r="G58" s="4"/>
      <c r="H58" s="18">
        <f aca="true" t="shared" si="3" ref="H58:H64">IF(E58+F58=0,"",E58/(F58+E58)*100)</f>
        <v>33.9622641509434</v>
      </c>
      <c r="I58" s="18"/>
      <c r="J58" s="60"/>
      <c r="L58" s="4"/>
      <c r="M58" s="4"/>
      <c r="N58" s="4"/>
      <c r="O58" s="18">
        <f t="shared" si="2"/>
      </c>
    </row>
    <row r="59" spans="1:15" ht="12.75">
      <c r="A59" t="s">
        <v>1672</v>
      </c>
      <c r="B59" t="s">
        <v>1659</v>
      </c>
      <c r="C59" s="4">
        <v>2</v>
      </c>
      <c r="D59" s="15" t="s">
        <v>1700</v>
      </c>
      <c r="E59" s="4">
        <f>8+9</f>
        <v>17</v>
      </c>
      <c r="F59" s="4">
        <f>8+7+1</f>
        <v>16</v>
      </c>
      <c r="G59" s="4"/>
      <c r="H59" s="18">
        <f t="shared" si="3"/>
        <v>51.515151515151516</v>
      </c>
      <c r="I59" s="18"/>
      <c r="J59" s="60"/>
      <c r="L59" s="4"/>
      <c r="M59" s="4"/>
      <c r="N59" s="4"/>
      <c r="O59" s="18">
        <f t="shared" si="2"/>
      </c>
    </row>
    <row r="60" spans="1:15" ht="12.75">
      <c r="A60" t="s">
        <v>1674</v>
      </c>
      <c r="B60" t="s">
        <v>1641</v>
      </c>
      <c r="C60" s="4">
        <v>2</v>
      </c>
      <c r="D60" s="15" t="s">
        <v>1699</v>
      </c>
      <c r="E60" s="4">
        <f>9+1+2</f>
        <v>12</v>
      </c>
      <c r="F60" s="4">
        <f>7+7</f>
        <v>14</v>
      </c>
      <c r="G60" s="4"/>
      <c r="H60" s="18">
        <f t="shared" si="3"/>
        <v>46.15384615384615</v>
      </c>
      <c r="I60" s="18"/>
      <c r="J60" s="60"/>
      <c r="K60" s="4">
        <v>1</v>
      </c>
      <c r="L60" s="4">
        <v>0</v>
      </c>
      <c r="M60" s="4">
        <v>1</v>
      </c>
      <c r="N60" s="4"/>
      <c r="O60" s="18">
        <f t="shared" si="2"/>
        <v>0</v>
      </c>
    </row>
    <row r="61" spans="1:15" ht="12.75">
      <c r="A61" t="s">
        <v>1683</v>
      </c>
      <c r="B61" t="s">
        <v>1656</v>
      </c>
      <c r="C61" s="4">
        <v>3</v>
      </c>
      <c r="D61" s="15" t="s">
        <v>1947</v>
      </c>
      <c r="E61" s="4">
        <f>4+6+2</f>
        <v>12</v>
      </c>
      <c r="F61" s="4">
        <f>12+10+14</f>
        <v>36</v>
      </c>
      <c r="G61" s="4"/>
      <c r="H61" s="18">
        <f t="shared" si="3"/>
        <v>25</v>
      </c>
      <c r="I61" s="18"/>
      <c r="J61" s="60"/>
      <c r="L61" s="4"/>
      <c r="M61" s="4"/>
      <c r="N61" s="4"/>
      <c r="O61" s="18">
        <f t="shared" si="2"/>
      </c>
    </row>
    <row r="62" spans="1:15" ht="12.75">
      <c r="A62" t="s">
        <v>1686</v>
      </c>
      <c r="B62" t="s">
        <v>1649</v>
      </c>
      <c r="C62" s="4">
        <v>2</v>
      </c>
      <c r="D62" s="15" t="s">
        <v>1699</v>
      </c>
      <c r="E62" s="4">
        <f>10+1</f>
        <v>11</v>
      </c>
      <c r="F62" s="4">
        <f>6+2</f>
        <v>8</v>
      </c>
      <c r="G62" s="4"/>
      <c r="H62" s="18">
        <f t="shared" si="3"/>
        <v>57.89473684210527</v>
      </c>
      <c r="I62" s="18"/>
      <c r="J62" s="60"/>
      <c r="K62" s="4">
        <v>1</v>
      </c>
      <c r="L62" s="4">
        <v>1</v>
      </c>
      <c r="M62" s="4">
        <v>1</v>
      </c>
      <c r="N62" s="4"/>
      <c r="O62" s="18">
        <f t="shared" si="2"/>
        <v>50</v>
      </c>
    </row>
    <row r="63" spans="1:15" ht="12.75">
      <c r="A63" t="s">
        <v>2105</v>
      </c>
      <c r="B63" t="s">
        <v>1658</v>
      </c>
      <c r="C63" s="4">
        <v>1</v>
      </c>
      <c r="D63" s="54" t="s">
        <v>2106</v>
      </c>
      <c r="E63" s="4">
        <v>8</v>
      </c>
      <c r="F63" s="4">
        <v>9</v>
      </c>
      <c r="G63" s="4"/>
      <c r="H63" s="18">
        <f t="shared" si="3"/>
        <v>47.05882352941176</v>
      </c>
      <c r="I63" s="18"/>
      <c r="J63" s="60"/>
      <c r="L63" s="4"/>
      <c r="M63" s="4"/>
      <c r="N63" s="4"/>
      <c r="O63" s="18"/>
    </row>
    <row r="64" spans="1:15" ht="12.75">
      <c r="A64" t="s">
        <v>1668</v>
      </c>
      <c r="B64" t="s">
        <v>1658</v>
      </c>
      <c r="C64" s="4">
        <v>2</v>
      </c>
      <c r="D64" s="15" t="s">
        <v>1699</v>
      </c>
      <c r="E64" s="4">
        <f>1+7</f>
        <v>8</v>
      </c>
      <c r="F64" s="4">
        <f>9+5</f>
        <v>14</v>
      </c>
      <c r="G64" s="4"/>
      <c r="H64" s="18">
        <f t="shared" si="3"/>
        <v>36.36363636363637</v>
      </c>
      <c r="I64" s="18"/>
      <c r="J64" s="60"/>
      <c r="L64" s="4"/>
      <c r="M64" s="4"/>
      <c r="N64" s="4"/>
      <c r="O64" s="18">
        <f t="shared" si="2"/>
      </c>
    </row>
    <row r="65" spans="1:15" ht="12.75">
      <c r="A65" t="s">
        <v>1682</v>
      </c>
      <c r="B65" t="s">
        <v>1652</v>
      </c>
      <c r="C65" s="4">
        <v>2</v>
      </c>
      <c r="D65" s="15" t="s">
        <v>1699</v>
      </c>
      <c r="E65" s="4">
        <f>6+0</f>
        <v>6</v>
      </c>
      <c r="F65" s="4">
        <f>10+2</f>
        <v>12</v>
      </c>
      <c r="G65" s="4">
        <f>0+1</f>
        <v>1</v>
      </c>
      <c r="H65" s="18">
        <f>IF(E65+F65=0,"",(E65+G65*0.5)/(F65+E65+G65)*100)</f>
        <v>34.21052631578947</v>
      </c>
      <c r="I65" s="18"/>
      <c r="J65" s="60"/>
      <c r="L65" s="4"/>
      <c r="M65" s="4"/>
      <c r="N65" s="4"/>
      <c r="O65" s="18">
        <f t="shared" si="2"/>
      </c>
    </row>
    <row r="66" spans="1:15" ht="12.75">
      <c r="A66" t="s">
        <v>1696</v>
      </c>
      <c r="B66" t="s">
        <v>1649</v>
      </c>
      <c r="C66" s="4">
        <v>1</v>
      </c>
      <c r="D66" s="15">
        <v>2004</v>
      </c>
      <c r="E66" s="4">
        <v>4</v>
      </c>
      <c r="F66" s="4">
        <v>8</v>
      </c>
      <c r="G66" s="4"/>
      <c r="H66" s="18">
        <f aca="true" t="shared" si="4" ref="H66:H73">IF(E66+F66=0,"",E66/(F66+E66)*100)</f>
        <v>33.33333333333333</v>
      </c>
      <c r="I66" s="18"/>
      <c r="J66" s="60"/>
      <c r="L66" s="4"/>
      <c r="M66" s="4"/>
      <c r="N66" s="4"/>
      <c r="O66" s="18"/>
    </row>
    <row r="67" spans="1:15" ht="12.75">
      <c r="A67" t="s">
        <v>2083</v>
      </c>
      <c r="B67" t="s">
        <v>2084</v>
      </c>
      <c r="C67" s="4">
        <v>1</v>
      </c>
      <c r="D67" s="33" t="s">
        <v>2085</v>
      </c>
      <c r="E67" s="4">
        <f>4</f>
        <v>4</v>
      </c>
      <c r="F67" s="4">
        <f>13</f>
        <v>13</v>
      </c>
      <c r="G67" s="4"/>
      <c r="H67" s="18">
        <f t="shared" si="4"/>
        <v>23.52941176470588</v>
      </c>
      <c r="I67" s="18"/>
      <c r="J67" s="60"/>
      <c r="L67" s="4"/>
      <c r="M67" s="4"/>
      <c r="N67" s="4"/>
      <c r="O67" s="18"/>
    </row>
    <row r="68" spans="1:15" ht="12.75">
      <c r="A68" t="s">
        <v>1681</v>
      </c>
      <c r="B68" t="s">
        <v>1658</v>
      </c>
      <c r="C68" s="4">
        <v>1</v>
      </c>
      <c r="D68" s="15">
        <v>2003</v>
      </c>
      <c r="E68" s="4">
        <v>2</v>
      </c>
      <c r="F68" s="4">
        <v>4</v>
      </c>
      <c r="G68" s="4"/>
      <c r="H68" s="18">
        <f t="shared" si="4"/>
        <v>33.33333333333333</v>
      </c>
      <c r="I68" s="18"/>
      <c r="J68" s="60"/>
      <c r="L68" s="4"/>
      <c r="M68" s="4"/>
      <c r="N68" s="4"/>
      <c r="O68" s="18">
        <f>IF(L68+M68=0,"",L68/(M68+L68)*100)</f>
      </c>
    </row>
    <row r="69" spans="1:15" ht="12.75">
      <c r="A69" t="s">
        <v>1681</v>
      </c>
      <c r="B69" t="s">
        <v>1654</v>
      </c>
      <c r="C69" s="4">
        <v>1</v>
      </c>
      <c r="D69" s="15">
        <v>2003</v>
      </c>
      <c r="E69" s="4">
        <v>2</v>
      </c>
      <c r="F69" s="4">
        <v>8</v>
      </c>
      <c r="G69" s="4"/>
      <c r="H69" s="18">
        <f t="shared" si="4"/>
        <v>20</v>
      </c>
      <c r="I69" s="18"/>
      <c r="J69" s="60"/>
      <c r="L69" s="4"/>
      <c r="M69" s="4"/>
      <c r="N69" s="4"/>
      <c r="O69" s="18">
        <f>IF(L69+M69=0,"",L69/(M69+L69)*100)</f>
      </c>
    </row>
    <row r="70" spans="1:15" ht="12.75">
      <c r="A70" t="s">
        <v>1685</v>
      </c>
      <c r="B70" t="s">
        <v>1662</v>
      </c>
      <c r="C70" s="4">
        <v>1</v>
      </c>
      <c r="D70" s="15">
        <v>2003</v>
      </c>
      <c r="E70" s="4">
        <v>2</v>
      </c>
      <c r="F70" s="4">
        <v>14</v>
      </c>
      <c r="G70" s="4"/>
      <c r="H70" s="18">
        <f t="shared" si="4"/>
        <v>12.5</v>
      </c>
      <c r="I70" s="18"/>
      <c r="J70" s="60"/>
      <c r="L70" s="4"/>
      <c r="M70" s="4"/>
      <c r="N70" s="4"/>
      <c r="O70" s="18">
        <f>IF(L70+M70=0,"",L70/(M70+L70)*100)</f>
      </c>
    </row>
    <row r="71" spans="1:15" ht="12.75">
      <c r="A71" t="s">
        <v>1687</v>
      </c>
      <c r="B71" t="s">
        <v>1646</v>
      </c>
      <c r="C71" s="4">
        <v>1</v>
      </c>
      <c r="D71" s="15">
        <v>2003</v>
      </c>
      <c r="E71" s="4">
        <v>1</v>
      </c>
      <c r="F71" s="4">
        <v>0</v>
      </c>
      <c r="G71" s="4"/>
      <c r="H71" s="18">
        <f t="shared" si="4"/>
        <v>100</v>
      </c>
      <c r="I71" s="18"/>
      <c r="J71" s="60"/>
      <c r="L71" s="4"/>
      <c r="M71" s="4"/>
      <c r="N71" s="4"/>
      <c r="O71" s="18">
        <f>IF(L71+M71=0,"",L71/(M71+L71)*100)</f>
      </c>
    </row>
    <row r="72" spans="1:15" ht="12.75">
      <c r="A72" t="s">
        <v>1694</v>
      </c>
      <c r="B72" t="s">
        <v>1655</v>
      </c>
      <c r="C72" s="4">
        <v>1</v>
      </c>
      <c r="D72" s="15">
        <v>2004</v>
      </c>
      <c r="E72" s="4">
        <v>0</v>
      </c>
      <c r="F72" s="4">
        <v>1</v>
      </c>
      <c r="G72" s="4"/>
      <c r="H72" s="18">
        <f t="shared" si="4"/>
        <v>0</v>
      </c>
      <c r="I72" s="18"/>
      <c r="J72" s="60"/>
      <c r="L72" s="4"/>
      <c r="M72" s="4"/>
      <c r="N72" s="4"/>
      <c r="O72" s="18">
        <f>IF(L72+M72=0,"",L72/(M72+L72)*100)</f>
      </c>
    </row>
    <row r="73" spans="1:15" ht="12.75">
      <c r="A73" t="s">
        <v>1680</v>
      </c>
      <c r="B73" t="s">
        <v>1646</v>
      </c>
      <c r="C73" s="4">
        <v>1</v>
      </c>
      <c r="D73" s="15">
        <v>2003</v>
      </c>
      <c r="E73" s="4">
        <v>0</v>
      </c>
      <c r="F73" s="4">
        <v>2</v>
      </c>
      <c r="G73" s="4"/>
      <c r="H73" s="18">
        <f t="shared" si="4"/>
        <v>0</v>
      </c>
      <c r="I73" s="18"/>
      <c r="J73" s="60"/>
      <c r="L73" s="4"/>
      <c r="M73" s="4"/>
      <c r="N73" s="4"/>
      <c r="O73" s="18"/>
    </row>
    <row r="75" spans="5:14" ht="12.75">
      <c r="E75" s="4">
        <f>SUM(E10:E74)</f>
        <v>3967</v>
      </c>
      <c r="F75" s="4">
        <f>SUM(F10:F74)</f>
        <v>3968</v>
      </c>
      <c r="G75" s="4">
        <f>SUM(G13:G74)</f>
        <v>14</v>
      </c>
      <c r="J75" s="2"/>
      <c r="L75" s="4">
        <f>SUM(L10:L74)</f>
        <v>195</v>
      </c>
      <c r="M75" s="4">
        <f>SUM(M10:M74)</f>
        <v>195</v>
      </c>
      <c r="N75" s="4"/>
    </row>
    <row r="77" ht="12.75">
      <c r="A77" s="59" t="s">
        <v>2064</v>
      </c>
    </row>
    <row r="78" ht="12.75">
      <c r="A78" s="57" t="s">
        <v>2065</v>
      </c>
    </row>
    <row r="79" ht="12.75">
      <c r="A79" s="57" t="s">
        <v>2066</v>
      </c>
    </row>
    <row r="80" ht="12.75">
      <c r="A80" s="57" t="s">
        <v>2067</v>
      </c>
    </row>
  </sheetData>
  <sheetProtection/>
  <printOptions/>
  <pageMargins left="0.75" right="0.75" top="1" bottom="1" header="0.5" footer="0.5"/>
  <pageSetup horizontalDpi="360" verticalDpi="360" orientation="portrait" r:id="rId1"/>
  <ignoredErrors>
    <ignoredError sqref="H53 H65 H48 M43 O48 G36" formula="1"/>
    <ignoredError sqref="D67 D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U1499"/>
  <sheetViews>
    <sheetView zoomScale="95" zoomScaleNormal="95" zoomScalePageLayoutView="0" workbookViewId="0" topLeftCell="A1">
      <selection activeCell="G2" sqref="G2"/>
    </sheetView>
  </sheetViews>
  <sheetFormatPr defaultColWidth="9.140625" defaultRowHeight="12.75"/>
  <cols>
    <col min="1" max="1" width="23.7109375" style="1" bestFit="1" customWidth="1"/>
    <col min="2" max="2" width="49.8515625" style="0" bestFit="1" customWidth="1"/>
    <col min="3" max="3" width="4.00390625" style="2" customWidth="1"/>
    <col min="4" max="4" width="5.00390625" style="3" customWidth="1"/>
    <col min="5" max="5" width="7.421875" style="4" customWidth="1"/>
    <col min="6" max="6" width="5.421875" style="4" customWidth="1"/>
    <col min="7" max="7" width="11.00390625" style="4" bestFit="1" customWidth="1"/>
    <col min="8" max="8" width="7.57421875" style="4" bestFit="1" customWidth="1"/>
    <col min="9" max="10" width="5.140625" style="4" customWidth="1"/>
    <col min="11" max="11" width="8.7109375" style="4" bestFit="1" customWidth="1"/>
    <col min="12" max="12" width="7.57421875" style="4" bestFit="1" customWidth="1"/>
    <col min="13" max="14" width="6.7109375" style="4" bestFit="1" customWidth="1"/>
    <col min="15" max="15" width="8.421875" style="4" bestFit="1" customWidth="1"/>
    <col min="16" max="16" width="22.28125" style="4" customWidth="1"/>
  </cols>
  <sheetData>
    <row r="2" ht="20.25">
      <c r="G2" s="42" t="s">
        <v>1010</v>
      </c>
    </row>
    <row r="3" ht="12.75">
      <c r="G3" s="4" t="s">
        <v>793</v>
      </c>
    </row>
    <row r="4" ht="12.75">
      <c r="G4" s="46" t="s">
        <v>1262</v>
      </c>
    </row>
    <row r="7" spans="1:17" ht="15.75">
      <c r="A7" s="5" t="s">
        <v>985</v>
      </c>
      <c r="B7" s="6" t="s">
        <v>1012</v>
      </c>
      <c r="C7" s="7" t="s">
        <v>1036</v>
      </c>
      <c r="D7" s="8"/>
      <c r="E7" s="9" t="s">
        <v>987</v>
      </c>
      <c r="F7" s="9"/>
      <c r="G7" s="9" t="s">
        <v>988</v>
      </c>
      <c r="H7" s="9" t="s">
        <v>989</v>
      </c>
      <c r="I7" s="9" t="s">
        <v>990</v>
      </c>
      <c r="J7" s="9" t="s">
        <v>991</v>
      </c>
      <c r="K7" s="9" t="s">
        <v>992</v>
      </c>
      <c r="L7" s="9" t="s">
        <v>993</v>
      </c>
      <c r="M7" s="9" t="s">
        <v>994</v>
      </c>
      <c r="N7" s="9" t="s">
        <v>995</v>
      </c>
      <c r="O7" s="9" t="s">
        <v>996</v>
      </c>
      <c r="Q7" s="6" t="s">
        <v>954</v>
      </c>
    </row>
    <row r="8" spans="1:19" ht="12.75">
      <c r="A8" s="10"/>
      <c r="B8" s="11"/>
      <c r="C8" s="12"/>
      <c r="D8" s="13"/>
      <c r="S8" s="4"/>
    </row>
    <row r="9" spans="1:21" ht="12.75">
      <c r="A9" s="14" t="s">
        <v>1898</v>
      </c>
      <c r="B9" s="15" t="s">
        <v>438</v>
      </c>
      <c r="C9" s="2">
        <v>5</v>
      </c>
      <c r="E9" s="2">
        <f>207+262+309+298+249</f>
        <v>1325</v>
      </c>
      <c r="G9" s="2">
        <f>359+441+497+501+462</f>
        <v>2260</v>
      </c>
      <c r="H9" s="2">
        <f>2117+3473+4163+3791+3265</f>
        <v>16809</v>
      </c>
      <c r="I9" s="2">
        <f>14+29+28+25+27</f>
        <v>123</v>
      </c>
      <c r="J9" s="2">
        <f>21+17+10+15+9</f>
        <v>72</v>
      </c>
      <c r="K9" s="16">
        <f aca="true" t="shared" si="0" ref="K9:K40">E9/G9</f>
        <v>0.5862831858407079</v>
      </c>
      <c r="L9" s="17">
        <f aca="true" t="shared" si="1" ref="L9:L40">H9/G9</f>
        <v>7.437610619469027</v>
      </c>
      <c r="M9" s="16">
        <f aca="true" t="shared" si="2" ref="M9:M40">I9/G9</f>
        <v>0.05442477876106195</v>
      </c>
      <c r="N9" s="16">
        <f aca="true" t="shared" si="3" ref="N9:N40">J9/G9</f>
        <v>0.03185840707964602</v>
      </c>
      <c r="O9" s="19">
        <f aca="true" t="shared" si="4" ref="O9:O40">SUM(Q9:T9)*100/6</f>
        <v>86.7975663716814</v>
      </c>
      <c r="Q9" s="20">
        <f aca="true" t="shared" si="5" ref="Q9:Q46">IF(G9=0,0,((E9/G9)-0.3)/0.2)</f>
        <v>1.4314159292035395</v>
      </c>
      <c r="R9" s="20">
        <f aca="true" t="shared" si="6" ref="R9:R46">IF(G9=0,0,((H9/G9)-3)/4)</f>
        <v>1.1094026548672566</v>
      </c>
      <c r="S9" s="20">
        <f aca="true" t="shared" si="7" ref="S9:S46">IF(G9=0,0,I9/G9/0.05)</f>
        <v>1.0884955752212389</v>
      </c>
      <c r="T9" s="20">
        <f aca="true" t="shared" si="8" ref="T9:T40">IF(G9=0,0,(0.095-J9/G9)/0.04)</f>
        <v>1.5785398230088497</v>
      </c>
      <c r="U9" t="s">
        <v>1092</v>
      </c>
    </row>
    <row r="10" spans="1:20" ht="12.75">
      <c r="A10" s="14" t="s">
        <v>1072</v>
      </c>
      <c r="B10" s="15" t="s">
        <v>673</v>
      </c>
      <c r="C10" s="2">
        <v>6</v>
      </c>
      <c r="E10" s="2">
        <f>5+267+336+290+355+356</f>
        <v>1609</v>
      </c>
      <c r="G10" s="2">
        <f>9+480+560+504+570+593</f>
        <v>2716</v>
      </c>
      <c r="H10" s="2">
        <f>14+3086+4115+3375+3654+4048</f>
        <v>18292</v>
      </c>
      <c r="I10" s="2">
        <f>1+21+46+28+25+26</f>
        <v>147</v>
      </c>
      <c r="J10" s="2">
        <f>0+14+21+17+14+15</f>
        <v>81</v>
      </c>
      <c r="K10" s="16">
        <f t="shared" si="0"/>
        <v>0.5924153166421208</v>
      </c>
      <c r="L10" s="17">
        <f t="shared" si="1"/>
        <v>6.734904270986745</v>
      </c>
      <c r="M10" s="16">
        <f t="shared" si="2"/>
        <v>0.05412371134020619</v>
      </c>
      <c r="N10" s="16">
        <f t="shared" si="3"/>
        <v>0.029823269513991165</v>
      </c>
      <c r="O10" s="19">
        <f t="shared" si="4"/>
        <v>85.12825233186058</v>
      </c>
      <c r="Q10" s="20">
        <f t="shared" si="5"/>
        <v>1.4620765832106037</v>
      </c>
      <c r="R10" s="20">
        <f t="shared" si="6"/>
        <v>0.9337260677466863</v>
      </c>
      <c r="S10" s="20">
        <f t="shared" si="7"/>
        <v>1.0824742268041236</v>
      </c>
      <c r="T10" s="20">
        <f t="shared" si="8"/>
        <v>1.6294182621502207</v>
      </c>
    </row>
    <row r="11" spans="1:20" ht="12.75">
      <c r="A11" s="14" t="s">
        <v>1050</v>
      </c>
      <c r="B11" s="15" t="s">
        <v>1998</v>
      </c>
      <c r="C11" s="2">
        <v>4</v>
      </c>
      <c r="E11" s="2">
        <f>286+151+78+19</f>
        <v>534</v>
      </c>
      <c r="G11" s="2">
        <f>541+361+156+36</f>
        <v>1094</v>
      </c>
      <c r="H11" s="2">
        <f>4120+2698+1060+224</f>
        <v>8102</v>
      </c>
      <c r="I11" s="2">
        <f>39+29+8+4</f>
        <v>80</v>
      </c>
      <c r="J11" s="2">
        <f>15+20+3+2</f>
        <v>40</v>
      </c>
      <c r="K11" s="16">
        <f t="shared" si="0"/>
        <v>0.48811700182815354</v>
      </c>
      <c r="L11" s="17">
        <f t="shared" si="1"/>
        <v>7.405850091407678</v>
      </c>
      <c r="M11" s="16">
        <f t="shared" si="2"/>
        <v>0.07312614259597806</v>
      </c>
      <c r="N11" s="16">
        <f t="shared" si="3"/>
        <v>0.03656307129798903</v>
      </c>
      <c r="O11" s="19">
        <f t="shared" si="4"/>
        <v>82.75822669104205</v>
      </c>
      <c r="Q11" s="20">
        <f t="shared" si="5"/>
        <v>0.9405850091407677</v>
      </c>
      <c r="R11" s="20">
        <f t="shared" si="6"/>
        <v>1.1014625228519195</v>
      </c>
      <c r="S11" s="20">
        <f t="shared" si="7"/>
        <v>1.4625228519195612</v>
      </c>
      <c r="T11" s="20">
        <f t="shared" si="8"/>
        <v>1.4609232175502742</v>
      </c>
    </row>
    <row r="12" spans="1:20" ht="12.75">
      <c r="A12" s="14" t="s">
        <v>1820</v>
      </c>
      <c r="B12" s="15" t="s">
        <v>96</v>
      </c>
      <c r="C12" s="2">
        <v>4</v>
      </c>
      <c r="E12" s="2">
        <f>7+0+291+338</f>
        <v>636</v>
      </c>
      <c r="G12" s="2">
        <f>15+1+464+570</f>
        <v>1050</v>
      </c>
      <c r="H12" s="2">
        <f>49+0+3486+3794</f>
        <v>7329</v>
      </c>
      <c r="I12" s="2">
        <f>0+0+15+17</f>
        <v>32</v>
      </c>
      <c r="J12" s="2">
        <f>1+0+10+13</f>
        <v>24</v>
      </c>
      <c r="K12" s="16">
        <f t="shared" si="0"/>
        <v>0.6057142857142858</v>
      </c>
      <c r="L12" s="17">
        <f t="shared" si="1"/>
        <v>6.98</v>
      </c>
      <c r="M12" s="16">
        <f t="shared" si="2"/>
        <v>0.030476190476190476</v>
      </c>
      <c r="N12" s="16">
        <f t="shared" si="3"/>
        <v>0.022857142857142857</v>
      </c>
      <c r="O12" s="19">
        <f t="shared" si="4"/>
        <v>82.27777777777777</v>
      </c>
      <c r="Q12" s="20">
        <f t="shared" si="5"/>
        <v>1.5285714285714287</v>
      </c>
      <c r="R12" s="20">
        <f t="shared" si="6"/>
        <v>0.9950000000000001</v>
      </c>
      <c r="S12" s="20">
        <f t="shared" si="7"/>
        <v>0.6095238095238095</v>
      </c>
      <c r="T12" s="20">
        <f t="shared" si="8"/>
        <v>1.8035714285714286</v>
      </c>
    </row>
    <row r="13" spans="1:20" ht="12.75">
      <c r="A13" s="14" t="s">
        <v>1040</v>
      </c>
      <c r="B13" s="15" t="s">
        <v>1760</v>
      </c>
      <c r="C13" s="2">
        <v>3</v>
      </c>
      <c r="E13" s="2">
        <f>345+263+0</f>
        <v>608</v>
      </c>
      <c r="G13" s="2">
        <f>550+473+1</f>
        <v>1024</v>
      </c>
      <c r="H13" s="2">
        <f>3108+2912+0</f>
        <v>6020</v>
      </c>
      <c r="I13" s="2">
        <f>16+19+0</f>
        <v>35</v>
      </c>
      <c r="J13" s="2">
        <f>5+13+0</f>
        <v>18</v>
      </c>
      <c r="K13" s="16">
        <f t="shared" si="0"/>
        <v>0.59375</v>
      </c>
      <c r="L13" s="17">
        <f t="shared" si="1"/>
        <v>5.87890625</v>
      </c>
      <c r="M13" s="16">
        <f t="shared" si="2"/>
        <v>0.0341796875</v>
      </c>
      <c r="N13" s="16">
        <f t="shared" si="3"/>
        <v>0.017578125</v>
      </c>
      <c r="O13" s="19">
        <f t="shared" si="4"/>
        <v>80.126953125</v>
      </c>
      <c r="Q13" s="20">
        <f t="shared" si="5"/>
        <v>1.46875</v>
      </c>
      <c r="R13" s="20">
        <f t="shared" si="6"/>
        <v>0.7197265625</v>
      </c>
      <c r="S13" s="20">
        <f t="shared" si="7"/>
        <v>0.68359375</v>
      </c>
      <c r="T13" s="20">
        <f t="shared" si="8"/>
        <v>1.935546875</v>
      </c>
    </row>
    <row r="14" spans="1:20" ht="12.75">
      <c r="A14" s="14" t="s">
        <v>1027</v>
      </c>
      <c r="B14" s="15" t="s">
        <v>462</v>
      </c>
      <c r="C14" s="2">
        <v>5</v>
      </c>
      <c r="E14" s="2">
        <f>296+120+265+288+1</f>
        <v>970</v>
      </c>
      <c r="G14" s="2">
        <f>522+168+410+515+4</f>
        <v>1619</v>
      </c>
      <c r="H14" s="2">
        <f>3290+983+2441+3072+11</f>
        <v>9797</v>
      </c>
      <c r="I14" s="2">
        <f>27+5+7+19+0</f>
        <v>58</v>
      </c>
      <c r="J14" s="2">
        <f>13+4+11+8+0</f>
        <v>36</v>
      </c>
      <c r="K14" s="16">
        <f t="shared" si="0"/>
        <v>0.5991352686843731</v>
      </c>
      <c r="L14" s="17">
        <f t="shared" si="1"/>
        <v>6.051266213712168</v>
      </c>
      <c r="M14" s="16">
        <f t="shared" si="2"/>
        <v>0.035824583075972825</v>
      </c>
      <c r="N14" s="16">
        <f t="shared" si="3"/>
        <v>0.022235948116121063</v>
      </c>
      <c r="O14" s="19">
        <f t="shared" si="4"/>
        <v>79.90143092443894</v>
      </c>
      <c r="Q14" s="20">
        <f t="shared" si="5"/>
        <v>1.4956763434218652</v>
      </c>
      <c r="R14" s="20">
        <f t="shared" si="6"/>
        <v>0.762816553428042</v>
      </c>
      <c r="S14" s="20">
        <f t="shared" si="7"/>
        <v>0.7164916615194564</v>
      </c>
      <c r="T14" s="20">
        <f t="shared" si="8"/>
        <v>1.8191012970969733</v>
      </c>
    </row>
    <row r="15" spans="1:20" ht="12.75">
      <c r="A15" s="14" t="s">
        <v>1023</v>
      </c>
      <c r="B15" s="15" t="s">
        <v>492</v>
      </c>
      <c r="C15" s="2">
        <v>5</v>
      </c>
      <c r="E15" s="2">
        <f>337+303+351+313+262</f>
        <v>1566</v>
      </c>
      <c r="G15" s="2">
        <f>554+522+577+478+501</f>
        <v>2632</v>
      </c>
      <c r="H15" s="2">
        <f>3696+3437+3840+2973+2859</f>
        <v>16805</v>
      </c>
      <c r="I15" s="2">
        <f>19+25+23+15+9</f>
        <v>91</v>
      </c>
      <c r="J15" s="2">
        <f>17+8+12+19+11</f>
        <v>67</v>
      </c>
      <c r="K15" s="16">
        <f t="shared" si="0"/>
        <v>0.5949848024316109</v>
      </c>
      <c r="L15" s="17">
        <f t="shared" si="1"/>
        <v>6.384878419452887</v>
      </c>
      <c r="M15" s="16">
        <f t="shared" si="2"/>
        <v>0.034574468085106384</v>
      </c>
      <c r="N15" s="16">
        <f t="shared" si="3"/>
        <v>0.025455927051671733</v>
      </c>
      <c r="O15" s="19">
        <f t="shared" si="4"/>
        <v>79.1872467071935</v>
      </c>
      <c r="Q15" s="20">
        <f t="shared" si="5"/>
        <v>1.4749240121580545</v>
      </c>
      <c r="R15" s="20">
        <f t="shared" si="6"/>
        <v>0.8462196048632218</v>
      </c>
      <c r="S15" s="20">
        <f t="shared" si="7"/>
        <v>0.6914893617021276</v>
      </c>
      <c r="T15" s="20">
        <f t="shared" si="8"/>
        <v>1.7386018237082066</v>
      </c>
    </row>
    <row r="16" spans="1:20" ht="12.75">
      <c r="A16" s="14" t="s">
        <v>1038</v>
      </c>
      <c r="B16" s="15" t="s">
        <v>672</v>
      </c>
      <c r="C16" s="2">
        <v>5</v>
      </c>
      <c r="E16" s="2">
        <f>283+341+25+22+19</f>
        <v>690</v>
      </c>
      <c r="G16" s="2">
        <f>496+539+38+38+37</f>
        <v>1148</v>
      </c>
      <c r="H16" s="2">
        <f>3463+3154+204+175+161</f>
        <v>7157</v>
      </c>
      <c r="I16" s="2">
        <f>28+16+0+2+1</f>
        <v>47</v>
      </c>
      <c r="J16" s="2">
        <f>17+14+2+3+0</f>
        <v>36</v>
      </c>
      <c r="K16" s="16">
        <f t="shared" si="0"/>
        <v>0.6010452961672473</v>
      </c>
      <c r="L16" s="17">
        <f t="shared" si="1"/>
        <v>6.234320557491289</v>
      </c>
      <c r="M16" s="16">
        <f t="shared" si="2"/>
        <v>0.040940766550522645</v>
      </c>
      <c r="N16" s="16">
        <f t="shared" si="3"/>
        <v>0.0313588850174216</v>
      </c>
      <c r="O16" s="19">
        <f t="shared" si="4"/>
        <v>78.72749709639953</v>
      </c>
      <c r="Q16" s="20">
        <f t="shared" si="5"/>
        <v>1.5052264808362366</v>
      </c>
      <c r="R16" s="20">
        <f t="shared" si="6"/>
        <v>0.8085801393728222</v>
      </c>
      <c r="S16" s="20">
        <f t="shared" si="7"/>
        <v>0.8188153310104529</v>
      </c>
      <c r="T16" s="20">
        <f t="shared" si="8"/>
        <v>1.5910278745644602</v>
      </c>
    </row>
    <row r="17" spans="1:20" ht="12.75">
      <c r="A17" s="14" t="s">
        <v>1053</v>
      </c>
      <c r="B17" s="15" t="s">
        <v>562</v>
      </c>
      <c r="C17" s="2">
        <v>7</v>
      </c>
      <c r="E17" s="2">
        <f>306+251+255+262+195+287+315</f>
        <v>1871</v>
      </c>
      <c r="G17" s="2">
        <f>543+458+497+437+385+507+536</f>
        <v>3363</v>
      </c>
      <c r="H17" s="2">
        <f>3474+2880+2946+3052+2638+3443+3698</f>
        <v>22131</v>
      </c>
      <c r="I17" s="2">
        <f>19+20+22+20+14+18+23</f>
        <v>136</v>
      </c>
      <c r="J17" s="2">
        <f>7+23+12+12+16+9+9</f>
        <v>88</v>
      </c>
      <c r="K17" s="16">
        <f t="shared" si="0"/>
        <v>0.5563484983645555</v>
      </c>
      <c r="L17" s="17">
        <f t="shared" si="1"/>
        <v>6.580731489741303</v>
      </c>
      <c r="M17" s="16">
        <f t="shared" si="2"/>
        <v>0.040440083258994945</v>
      </c>
      <c r="N17" s="16">
        <f t="shared" si="3"/>
        <v>0.02616711269699673</v>
      </c>
      <c r="O17" s="19">
        <f t="shared" si="4"/>
        <v>78.44248686688472</v>
      </c>
      <c r="Q17" s="20">
        <f t="shared" si="5"/>
        <v>1.2817424918227773</v>
      </c>
      <c r="R17" s="20">
        <f t="shared" si="6"/>
        <v>0.8951828724353257</v>
      </c>
      <c r="S17" s="20">
        <f t="shared" si="7"/>
        <v>0.8088016651798988</v>
      </c>
      <c r="T17" s="20">
        <f t="shared" si="8"/>
        <v>1.7208221825750818</v>
      </c>
    </row>
    <row r="18" spans="1:20" ht="12.75">
      <c r="A18" s="14" t="s">
        <v>1056</v>
      </c>
      <c r="B18" s="15" t="s">
        <v>690</v>
      </c>
      <c r="C18" s="2">
        <v>6</v>
      </c>
      <c r="E18" s="2">
        <f>338+191+309+311+1+3</f>
        <v>1153</v>
      </c>
      <c r="G18" s="2">
        <f>503+351+503+516+2+10</f>
        <v>1885</v>
      </c>
      <c r="H18" s="2">
        <f>3590+2332+3292+3406+9+0</f>
        <v>12629</v>
      </c>
      <c r="I18" s="2">
        <f>24+20+12+10+0+0</f>
        <v>66</v>
      </c>
      <c r="J18" s="2">
        <f>11+23+10+21+0+0</f>
        <v>65</v>
      </c>
      <c r="K18" s="16">
        <f t="shared" si="0"/>
        <v>0.6116710875331565</v>
      </c>
      <c r="L18" s="17">
        <f t="shared" si="1"/>
        <v>6.69973474801061</v>
      </c>
      <c r="M18" s="16">
        <f t="shared" si="2"/>
        <v>0.0350132625994695</v>
      </c>
      <c r="N18" s="16">
        <f t="shared" si="3"/>
        <v>0.034482758620689655</v>
      </c>
      <c r="O18" s="19">
        <f t="shared" si="4"/>
        <v>78.27475685234306</v>
      </c>
      <c r="Q18" s="20">
        <f t="shared" si="5"/>
        <v>1.5583554376657822</v>
      </c>
      <c r="R18" s="20">
        <f t="shared" si="6"/>
        <v>0.9249336870026525</v>
      </c>
      <c r="S18" s="20">
        <f t="shared" si="7"/>
        <v>0.7002652519893899</v>
      </c>
      <c r="T18" s="20">
        <f t="shared" si="8"/>
        <v>1.5129310344827587</v>
      </c>
    </row>
    <row r="19" spans="1:20" ht="12.75">
      <c r="A19" s="14" t="s">
        <v>1033</v>
      </c>
      <c r="B19" s="15" t="s">
        <v>872</v>
      </c>
      <c r="C19" s="2">
        <v>6</v>
      </c>
      <c r="E19" s="2">
        <f>101+355+328+267+0+12</f>
        <v>1063</v>
      </c>
      <c r="G19" s="2">
        <f>210+615+570+498+5+25</f>
        <v>1923</v>
      </c>
      <c r="H19" s="2">
        <f>1233+4016+4220+3423+0+187</f>
        <v>13079</v>
      </c>
      <c r="I19" s="2">
        <f>15+29+30+20+1</f>
        <v>95</v>
      </c>
      <c r="J19" s="2">
        <f>11+18+23+13+2+1</f>
        <v>68</v>
      </c>
      <c r="K19" s="16">
        <f t="shared" si="0"/>
        <v>0.5527821112844514</v>
      </c>
      <c r="L19" s="17">
        <f t="shared" si="1"/>
        <v>6.801352054082163</v>
      </c>
      <c r="M19" s="16">
        <f t="shared" si="2"/>
        <v>0.04940197607904316</v>
      </c>
      <c r="N19" s="16">
        <f t="shared" si="3"/>
        <v>0.03536141445657826</v>
      </c>
      <c r="O19" s="19">
        <f t="shared" si="4"/>
        <v>78.22087883515341</v>
      </c>
      <c r="Q19" s="20">
        <f t="shared" si="5"/>
        <v>1.263910556422257</v>
      </c>
      <c r="R19" s="20">
        <f t="shared" si="6"/>
        <v>0.9503380135205408</v>
      </c>
      <c r="S19" s="20">
        <f t="shared" si="7"/>
        <v>0.9880395215808632</v>
      </c>
      <c r="T19" s="20">
        <f t="shared" si="8"/>
        <v>1.4909646385855435</v>
      </c>
    </row>
    <row r="20" spans="1:20" ht="12.75">
      <c r="A20" s="14" t="s">
        <v>1074</v>
      </c>
      <c r="B20" s="15" t="s">
        <v>689</v>
      </c>
      <c r="C20" s="2">
        <v>5</v>
      </c>
      <c r="E20" s="2">
        <f>4+239+284+343+357</f>
        <v>1227</v>
      </c>
      <c r="G20" s="2">
        <f>10+447+508+621+593</f>
        <v>2179</v>
      </c>
      <c r="H20" s="2">
        <f>51+2621+3148+3741+3890</f>
        <v>13451</v>
      </c>
      <c r="I20" s="2">
        <f>0+18+21+31+21</f>
        <v>91</v>
      </c>
      <c r="J20" s="2">
        <f>0+9+18+21+9</f>
        <v>57</v>
      </c>
      <c r="K20" s="16">
        <f t="shared" si="0"/>
        <v>0.5631023405231758</v>
      </c>
      <c r="L20" s="17">
        <f t="shared" si="1"/>
        <v>6.173015144561726</v>
      </c>
      <c r="M20" s="16">
        <f t="shared" si="2"/>
        <v>0.041762276273519965</v>
      </c>
      <c r="N20" s="16">
        <f t="shared" si="3"/>
        <v>0.026158788435061954</v>
      </c>
      <c r="O20" s="19">
        <f t="shared" si="4"/>
        <v>77.75068838916934</v>
      </c>
      <c r="Q20" s="20">
        <f t="shared" si="5"/>
        <v>1.3155117026158787</v>
      </c>
      <c r="R20" s="20">
        <f t="shared" si="6"/>
        <v>0.7932537861404314</v>
      </c>
      <c r="S20" s="20">
        <f t="shared" si="7"/>
        <v>0.8352455254703992</v>
      </c>
      <c r="T20" s="20">
        <f t="shared" si="8"/>
        <v>1.7210302891234512</v>
      </c>
    </row>
    <row r="21" spans="1:20" ht="12.75">
      <c r="A21" s="14" t="s">
        <v>1044</v>
      </c>
      <c r="B21" s="15" t="s">
        <v>835</v>
      </c>
      <c r="C21" s="2">
        <v>5</v>
      </c>
      <c r="E21" s="2">
        <f>328+325+319+237+356</f>
        <v>1565</v>
      </c>
      <c r="G21" s="2">
        <f>602+601+590+488+621</f>
        <v>2902</v>
      </c>
      <c r="H21" s="2">
        <f>3671+4234+4210+2899+3896</f>
        <v>18910</v>
      </c>
      <c r="I21" s="2">
        <f>25+45+41+18+30</f>
        <v>159</v>
      </c>
      <c r="J21" s="2">
        <f>17+26+28+24+11</f>
        <v>106</v>
      </c>
      <c r="K21" s="16">
        <f t="shared" si="0"/>
        <v>0.5392832529290145</v>
      </c>
      <c r="L21" s="17">
        <f t="shared" si="1"/>
        <v>6.516195727084769</v>
      </c>
      <c r="M21" s="16">
        <f t="shared" si="2"/>
        <v>0.05478980013783598</v>
      </c>
      <c r="N21" s="16">
        <f t="shared" si="3"/>
        <v>0.03652653342522398</v>
      </c>
      <c r="O21" s="19">
        <f t="shared" si="4"/>
        <v>77.2182977257064</v>
      </c>
      <c r="Q21" s="20">
        <f t="shared" si="5"/>
        <v>1.1964162646450722</v>
      </c>
      <c r="R21" s="20">
        <f t="shared" si="6"/>
        <v>0.8790489317711923</v>
      </c>
      <c r="S21" s="20">
        <f t="shared" si="7"/>
        <v>1.0957960027567195</v>
      </c>
      <c r="T21" s="20">
        <f t="shared" si="8"/>
        <v>1.4618366643694005</v>
      </c>
    </row>
    <row r="22" spans="1:20" ht="12.75">
      <c r="A22" s="14" t="s">
        <v>1031</v>
      </c>
      <c r="B22" s="15" t="s">
        <v>638</v>
      </c>
      <c r="C22" s="2">
        <v>7</v>
      </c>
      <c r="E22" s="2">
        <f>341+439+317+338+295+298+292</f>
        <v>2320</v>
      </c>
      <c r="G22" s="2">
        <f>602+732+593+632+534+529+502</f>
        <v>4124</v>
      </c>
      <c r="H22" s="2">
        <f>4029+5087+4164+4093+3617+3748+3535</f>
        <v>28273</v>
      </c>
      <c r="I22" s="2">
        <f>25+29+30+27+28+25+28</f>
        <v>192</v>
      </c>
      <c r="J22" s="2">
        <f>35+23+22+35+11+15+16</f>
        <v>157</v>
      </c>
      <c r="K22" s="16">
        <f t="shared" si="0"/>
        <v>0.562560620756547</v>
      </c>
      <c r="L22" s="17">
        <f t="shared" si="1"/>
        <v>6.855722599418041</v>
      </c>
      <c r="M22" s="16">
        <f t="shared" si="2"/>
        <v>0.04655674102812803</v>
      </c>
      <c r="N22" s="16">
        <f t="shared" si="3"/>
        <v>0.038069835111542195</v>
      </c>
      <c r="O22" s="19">
        <f t="shared" si="4"/>
        <v>77.18537827352084</v>
      </c>
      <c r="Q22" s="20">
        <f t="shared" si="5"/>
        <v>1.312803103782735</v>
      </c>
      <c r="R22" s="20">
        <f t="shared" si="6"/>
        <v>0.9639306498545102</v>
      </c>
      <c r="S22" s="20">
        <f t="shared" si="7"/>
        <v>0.9311348205625606</v>
      </c>
      <c r="T22" s="20">
        <f t="shared" si="8"/>
        <v>1.4232541222114452</v>
      </c>
    </row>
    <row r="23" spans="1:20" ht="12.75">
      <c r="A23" s="14" t="s">
        <v>22</v>
      </c>
      <c r="B23" s="15" t="s">
        <v>709</v>
      </c>
      <c r="C23" s="2">
        <v>3</v>
      </c>
      <c r="E23" s="2">
        <f>268+307+285</f>
        <v>860</v>
      </c>
      <c r="G23" s="2">
        <f>478+529+494</f>
        <v>1501</v>
      </c>
      <c r="H23" s="2">
        <f>2981+3729+3796</f>
        <v>10506</v>
      </c>
      <c r="I23" s="2">
        <f>12+13+24</f>
        <v>49</v>
      </c>
      <c r="J23" s="2">
        <f>16+25+10</f>
        <v>51</v>
      </c>
      <c r="K23" s="16">
        <f t="shared" si="0"/>
        <v>0.5729513657561626</v>
      </c>
      <c r="L23" s="17">
        <f t="shared" si="1"/>
        <v>6.999333777481679</v>
      </c>
      <c r="M23" s="16">
        <f t="shared" si="2"/>
        <v>0.03264490339773484</v>
      </c>
      <c r="N23" s="16">
        <f t="shared" si="3"/>
        <v>0.03397734843437708</v>
      </c>
      <c r="O23" s="19">
        <f t="shared" si="4"/>
        <v>75.71757717077504</v>
      </c>
      <c r="Q23" s="45">
        <f t="shared" si="5"/>
        <v>1.3647568287808127</v>
      </c>
      <c r="R23" s="20">
        <f t="shared" si="6"/>
        <v>0.9998334443704198</v>
      </c>
      <c r="S23" s="20">
        <f t="shared" si="7"/>
        <v>0.6528980679546967</v>
      </c>
      <c r="T23" s="20">
        <f t="shared" si="8"/>
        <v>1.525566289140573</v>
      </c>
    </row>
    <row r="24" spans="1:20" ht="12.75">
      <c r="A24" s="14" t="s">
        <v>1029</v>
      </c>
      <c r="B24" s="15" t="s">
        <v>1537</v>
      </c>
      <c r="C24" s="2">
        <v>6</v>
      </c>
      <c r="E24" s="2">
        <f>251+154+90+259+335+265</f>
        <v>1354</v>
      </c>
      <c r="G24" s="2">
        <f>461+314+190+525+602+510</f>
        <v>2602</v>
      </c>
      <c r="H24" s="2">
        <f>3147+2447+1406+2923+4121+3287</f>
        <v>17331</v>
      </c>
      <c r="I24" s="2">
        <f>22+16+9+12+35+25</f>
        <v>119</v>
      </c>
      <c r="J24" s="2">
        <f>11+15+10+17+13+15</f>
        <v>81</v>
      </c>
      <c r="K24" s="16">
        <f t="shared" si="0"/>
        <v>0.5203689469638739</v>
      </c>
      <c r="L24" s="17">
        <f t="shared" si="1"/>
        <v>6.660645657186779</v>
      </c>
      <c r="M24" s="16">
        <f t="shared" si="2"/>
        <v>0.04573405073020753</v>
      </c>
      <c r="N24" s="16">
        <f t="shared" si="3"/>
        <v>0.03112990007686395</v>
      </c>
      <c r="O24" s="19">
        <f t="shared" si="4"/>
        <v>75.47399436331027</v>
      </c>
      <c r="Q24" s="20">
        <f t="shared" si="5"/>
        <v>1.1018447348193696</v>
      </c>
      <c r="R24" s="20">
        <f t="shared" si="6"/>
        <v>0.9151614142966948</v>
      </c>
      <c r="S24" s="20">
        <f t="shared" si="7"/>
        <v>0.9146810146041506</v>
      </c>
      <c r="T24" s="20">
        <f t="shared" si="8"/>
        <v>1.5967524980784014</v>
      </c>
    </row>
    <row r="25" spans="1:20" ht="12.75">
      <c r="A25" s="14" t="s">
        <v>408</v>
      </c>
      <c r="B25" s="15" t="s">
        <v>292</v>
      </c>
      <c r="C25" s="2">
        <v>3</v>
      </c>
      <c r="E25" s="2">
        <f>279+1+415</f>
        <v>695</v>
      </c>
      <c r="G25" s="2">
        <f>547+4+686</f>
        <v>1237</v>
      </c>
      <c r="H25" s="2">
        <f>3240-3+4384</f>
        <v>7621</v>
      </c>
      <c r="I25" s="2">
        <f>15+0+30</f>
        <v>45</v>
      </c>
      <c r="J25" s="2">
        <f>11+1+22</f>
        <v>34</v>
      </c>
      <c r="K25" s="16">
        <f t="shared" si="0"/>
        <v>0.5618431689571544</v>
      </c>
      <c r="L25" s="17">
        <f t="shared" si="1"/>
        <v>6.160873080032336</v>
      </c>
      <c r="M25" s="16">
        <f t="shared" si="2"/>
        <v>0.03637833468067906</v>
      </c>
      <c r="N25" s="16">
        <f t="shared" si="3"/>
        <v>0.0274858528698464</v>
      </c>
      <c r="O25" s="19">
        <f t="shared" si="4"/>
        <v>75.24757477768794</v>
      </c>
      <c r="Q25" s="45">
        <f t="shared" si="5"/>
        <v>1.3092158447857718</v>
      </c>
      <c r="R25" s="20">
        <f t="shared" si="6"/>
        <v>0.790218270008084</v>
      </c>
      <c r="S25" s="20">
        <f t="shared" si="7"/>
        <v>0.7275666936135812</v>
      </c>
      <c r="T25" s="20">
        <f t="shared" si="8"/>
        <v>1.68785367825384</v>
      </c>
    </row>
    <row r="26" spans="1:20" ht="12.75">
      <c r="A26" s="14" t="s">
        <v>1014</v>
      </c>
      <c r="B26" s="15" t="s">
        <v>293</v>
      </c>
      <c r="C26" s="2">
        <v>6</v>
      </c>
      <c r="E26" s="2">
        <f>203+296+280+12+339+2</f>
        <v>1132</v>
      </c>
      <c r="G26" s="2">
        <f>348+549+541+19+571+8</f>
        <v>2036</v>
      </c>
      <c r="H26" s="2">
        <f>2218+3260+3655+163+3533+32</f>
        <v>12861</v>
      </c>
      <c r="I26" s="2">
        <f>20+24+18+1+20+0</f>
        <v>83</v>
      </c>
      <c r="J26" s="2">
        <f>5+19+26+0+15+1</f>
        <v>66</v>
      </c>
      <c r="K26" s="16">
        <f t="shared" si="0"/>
        <v>0.555992141453831</v>
      </c>
      <c r="L26" s="17">
        <f t="shared" si="1"/>
        <v>6.316797642436149</v>
      </c>
      <c r="M26" s="16">
        <f t="shared" si="2"/>
        <v>0.04076620825147348</v>
      </c>
      <c r="N26" s="16">
        <f t="shared" si="3"/>
        <v>0.03241650294695481</v>
      </c>
      <c r="O26" s="19">
        <f t="shared" si="4"/>
        <v>74.8178618205632</v>
      </c>
      <c r="Q26" s="20">
        <f t="shared" si="5"/>
        <v>1.279960707269155</v>
      </c>
      <c r="R26" s="20">
        <f t="shared" si="6"/>
        <v>0.8291994106090372</v>
      </c>
      <c r="S26" s="20">
        <f t="shared" si="7"/>
        <v>0.8153241650294696</v>
      </c>
      <c r="T26" s="20">
        <f t="shared" si="8"/>
        <v>1.56458742632613</v>
      </c>
    </row>
    <row r="27" spans="1:20" ht="12.75">
      <c r="A27" s="14" t="s">
        <v>1894</v>
      </c>
      <c r="B27" s="15" t="s">
        <v>1857</v>
      </c>
      <c r="C27" s="2">
        <v>4</v>
      </c>
      <c r="E27" s="2">
        <f>8+235+330+329</f>
        <v>902</v>
      </c>
      <c r="G27" s="2">
        <f>27+462+549+545</f>
        <v>1583</v>
      </c>
      <c r="H27" s="2">
        <f>98+2533+3809+3262</f>
        <v>9702</v>
      </c>
      <c r="I27" s="2">
        <f>0+15+21+12</f>
        <v>48</v>
      </c>
      <c r="J27" s="2">
        <f>1+21+12+6</f>
        <v>40</v>
      </c>
      <c r="K27" s="16">
        <f t="shared" si="0"/>
        <v>0.5698041692987997</v>
      </c>
      <c r="L27" s="17">
        <f t="shared" si="1"/>
        <v>6.128869235628553</v>
      </c>
      <c r="M27" s="16">
        <f t="shared" si="2"/>
        <v>0.030322173089071383</v>
      </c>
      <c r="N27" s="16">
        <f t="shared" si="3"/>
        <v>0.025268477574226154</v>
      </c>
      <c r="O27" s="19">
        <f t="shared" si="4"/>
        <v>74.68282796378185</v>
      </c>
      <c r="Q27" s="45">
        <f t="shared" si="5"/>
        <v>1.3490208464939986</v>
      </c>
      <c r="R27" s="20">
        <f t="shared" si="6"/>
        <v>0.7822173089071383</v>
      </c>
      <c r="S27" s="20">
        <f t="shared" si="7"/>
        <v>0.6064434617814276</v>
      </c>
      <c r="T27" s="20">
        <f t="shared" si="8"/>
        <v>1.7432880606443462</v>
      </c>
    </row>
    <row r="28" spans="1:20" ht="12.75">
      <c r="A28" s="14" t="s">
        <v>253</v>
      </c>
      <c r="B28" s="15" t="s">
        <v>750</v>
      </c>
      <c r="C28" s="2">
        <v>3</v>
      </c>
      <c r="E28" s="2">
        <f>210+323+268</f>
        <v>801</v>
      </c>
      <c r="G28" s="2">
        <f>447+511+462</f>
        <v>1420</v>
      </c>
      <c r="H28" s="2">
        <f>2818+3601+3292</f>
        <v>9711</v>
      </c>
      <c r="I28" s="2">
        <f>17+17+21</f>
        <v>55</v>
      </c>
      <c r="J28" s="2">
        <f>22+14+18</f>
        <v>54</v>
      </c>
      <c r="K28" s="16">
        <f t="shared" si="0"/>
        <v>0.5640845070422535</v>
      </c>
      <c r="L28" s="17">
        <f t="shared" si="1"/>
        <v>6.838732394366197</v>
      </c>
      <c r="M28" s="16">
        <f t="shared" si="2"/>
        <v>0.03873239436619718</v>
      </c>
      <c r="N28" s="16">
        <f t="shared" si="3"/>
        <v>0.038028169014084505</v>
      </c>
      <c r="O28" s="19">
        <f t="shared" si="4"/>
        <v>74.65082159624414</v>
      </c>
      <c r="Q28" s="20">
        <f t="shared" si="5"/>
        <v>1.3204225352112677</v>
      </c>
      <c r="R28" s="20">
        <f t="shared" si="6"/>
        <v>0.9596830985915492</v>
      </c>
      <c r="S28" s="20">
        <f t="shared" si="7"/>
        <v>0.7746478873239435</v>
      </c>
      <c r="T28" s="20">
        <f t="shared" si="8"/>
        <v>1.4242957746478875</v>
      </c>
    </row>
    <row r="29" spans="1:20" ht="12.75">
      <c r="A29" s="14" t="s">
        <v>1066</v>
      </c>
      <c r="B29" s="15" t="s">
        <v>870</v>
      </c>
      <c r="C29" s="2">
        <v>5</v>
      </c>
      <c r="E29" s="2">
        <f>283+302+298+267+19</f>
        <v>1169</v>
      </c>
      <c r="G29" s="2">
        <f>563+523+502+489+32</f>
        <v>2109</v>
      </c>
      <c r="H29" s="2">
        <f>3019+3597+3754+3280+224</f>
        <v>13874</v>
      </c>
      <c r="I29" s="2">
        <f>19+27+29+23+1</f>
        <v>99</v>
      </c>
      <c r="J29" s="2">
        <f>35+15+18+17+2</f>
        <v>87</v>
      </c>
      <c r="K29" s="16">
        <f t="shared" si="0"/>
        <v>0.5542911332385017</v>
      </c>
      <c r="L29" s="17">
        <f t="shared" si="1"/>
        <v>6.578473210052158</v>
      </c>
      <c r="M29" s="16">
        <f t="shared" si="2"/>
        <v>0.04694167852062589</v>
      </c>
      <c r="N29" s="16">
        <f t="shared" si="3"/>
        <v>0.041251778093883355</v>
      </c>
      <c r="O29" s="19">
        <f t="shared" si="4"/>
        <v>74.14355144618303</v>
      </c>
      <c r="Q29" s="20">
        <f t="shared" si="5"/>
        <v>1.2714556661925083</v>
      </c>
      <c r="R29" s="20">
        <f t="shared" si="6"/>
        <v>0.8946183025130394</v>
      </c>
      <c r="S29" s="20">
        <f t="shared" si="7"/>
        <v>0.9388335704125178</v>
      </c>
      <c r="T29" s="20">
        <f t="shared" si="8"/>
        <v>1.343705547652916</v>
      </c>
    </row>
    <row r="30" spans="1:20" ht="12.75">
      <c r="A30" s="14" t="s">
        <v>1063</v>
      </c>
      <c r="B30" s="15" t="s">
        <v>510</v>
      </c>
      <c r="C30" s="2">
        <v>4</v>
      </c>
      <c r="E30" s="2">
        <f>285+260+305+285</f>
        <v>1135</v>
      </c>
      <c r="G30" s="2">
        <f>565+467+528+449</f>
        <v>2009</v>
      </c>
      <c r="H30" s="2">
        <f>3183+3178+3810+2903</f>
        <v>13074</v>
      </c>
      <c r="I30" s="2">
        <f>12+19+25+13</f>
        <v>69</v>
      </c>
      <c r="J30" s="2">
        <f>23+14+15+14</f>
        <v>66</v>
      </c>
      <c r="K30" s="16">
        <f t="shared" si="0"/>
        <v>0.5649576903932305</v>
      </c>
      <c r="L30" s="17">
        <f t="shared" si="1"/>
        <v>6.507715281234445</v>
      </c>
      <c r="M30" s="16">
        <f t="shared" si="2"/>
        <v>0.03434544549527128</v>
      </c>
      <c r="N30" s="16">
        <f t="shared" si="3"/>
        <v>0.03285216525634644</v>
      </c>
      <c r="O30" s="19">
        <f t="shared" si="4"/>
        <v>74.03870084619213</v>
      </c>
      <c r="Q30" s="20">
        <f t="shared" si="5"/>
        <v>1.3247884519661526</v>
      </c>
      <c r="R30" s="20">
        <f t="shared" si="6"/>
        <v>0.8769288203086112</v>
      </c>
      <c r="S30" s="20">
        <f t="shared" si="7"/>
        <v>0.6869089099054255</v>
      </c>
      <c r="T30" s="20">
        <f t="shared" si="8"/>
        <v>1.553695868591339</v>
      </c>
    </row>
    <row r="31" spans="1:20" ht="12.75">
      <c r="A31" s="14" t="s">
        <v>997</v>
      </c>
      <c r="B31" s="15" t="s">
        <v>1249</v>
      </c>
      <c r="C31" s="2">
        <v>7</v>
      </c>
      <c r="E31" s="2">
        <f>344+362+318+22+249+297+284</f>
        <v>1876</v>
      </c>
      <c r="G31" s="2">
        <f>569+624+567+45+501+509+500</f>
        <v>3315</v>
      </c>
      <c r="H31" s="2">
        <f>4041+3775+3509+280+2815+3448+2820</f>
        <v>20688</v>
      </c>
      <c r="I31" s="2">
        <f>30+24+27+1+14+23+11</f>
        <v>130</v>
      </c>
      <c r="J31" s="2">
        <f>16+25+23+1+19+17+18</f>
        <v>119</v>
      </c>
      <c r="K31" s="16">
        <f t="shared" si="0"/>
        <v>0.5659125188536953</v>
      </c>
      <c r="L31" s="17">
        <f t="shared" si="1"/>
        <v>6.2407239819004525</v>
      </c>
      <c r="M31" s="16">
        <f t="shared" si="2"/>
        <v>0.0392156862745098</v>
      </c>
      <c r="N31" s="16">
        <f t="shared" si="3"/>
        <v>0.035897435897435895</v>
      </c>
      <c r="O31" s="19">
        <f t="shared" si="4"/>
        <v>73.36035696329814</v>
      </c>
      <c r="Q31" s="20">
        <f t="shared" si="5"/>
        <v>1.3295625942684766</v>
      </c>
      <c r="R31" s="20">
        <f t="shared" si="6"/>
        <v>0.8101809954751131</v>
      </c>
      <c r="S31" s="20">
        <f t="shared" si="7"/>
        <v>0.7843137254901961</v>
      </c>
      <c r="T31" s="20">
        <f t="shared" si="8"/>
        <v>1.4775641025641026</v>
      </c>
    </row>
    <row r="32" spans="1:20" ht="12.75">
      <c r="A32" s="14" t="s">
        <v>1051</v>
      </c>
      <c r="B32" s="15" t="s">
        <v>1751</v>
      </c>
      <c r="C32" s="2">
        <v>2</v>
      </c>
      <c r="E32" s="2">
        <f>287+284</f>
        <v>571</v>
      </c>
      <c r="G32" s="2">
        <f>532+488</f>
        <v>1020</v>
      </c>
      <c r="H32" s="2">
        <f>2841+3577</f>
        <v>6418</v>
      </c>
      <c r="I32" s="2">
        <f>12+23</f>
        <v>35</v>
      </c>
      <c r="J32" s="2">
        <f>9+25</f>
        <v>34</v>
      </c>
      <c r="K32" s="16">
        <f t="shared" si="0"/>
        <v>0.5598039215686275</v>
      </c>
      <c r="L32" s="17">
        <f t="shared" si="1"/>
        <v>6.292156862745098</v>
      </c>
      <c r="M32" s="16">
        <f t="shared" si="2"/>
        <v>0.03431372549019608</v>
      </c>
      <c r="N32" s="16">
        <f t="shared" si="3"/>
        <v>0.03333333333333333</v>
      </c>
      <c r="O32" s="19">
        <f t="shared" si="4"/>
        <v>72.50000000000001</v>
      </c>
      <c r="Q32" s="20">
        <f t="shared" si="5"/>
        <v>1.2990196078431373</v>
      </c>
      <c r="R32" s="20">
        <f t="shared" si="6"/>
        <v>0.8230392156862745</v>
      </c>
      <c r="S32" s="20">
        <f t="shared" si="7"/>
        <v>0.6862745098039216</v>
      </c>
      <c r="T32" s="20">
        <f t="shared" si="8"/>
        <v>1.5416666666666667</v>
      </c>
    </row>
    <row r="33" spans="1:20" ht="12.75">
      <c r="A33" s="14" t="s">
        <v>1083</v>
      </c>
      <c r="B33" s="15" t="s">
        <v>245</v>
      </c>
      <c r="C33" s="2">
        <v>4</v>
      </c>
      <c r="E33" s="2">
        <f>16+260+5+339</f>
        <v>620</v>
      </c>
      <c r="G33" s="2">
        <f>32+442+12+602</f>
        <v>1088</v>
      </c>
      <c r="H33" s="2">
        <f>151+3142+78+3443</f>
        <v>6814</v>
      </c>
      <c r="I33" s="2">
        <f>0+12+1+16</f>
        <v>29</v>
      </c>
      <c r="J33" s="2">
        <f>2+14+0+16</f>
        <v>32</v>
      </c>
      <c r="K33" s="16">
        <f t="shared" si="0"/>
        <v>0.5698529411764706</v>
      </c>
      <c r="L33" s="17">
        <f t="shared" si="1"/>
        <v>6.262867647058823</v>
      </c>
      <c r="M33" s="16">
        <f t="shared" si="2"/>
        <v>0.02665441176470588</v>
      </c>
      <c r="N33" s="16">
        <f t="shared" si="3"/>
        <v>0.029411764705882353</v>
      </c>
      <c r="O33" s="19">
        <f t="shared" si="4"/>
        <v>72.29626225490196</v>
      </c>
      <c r="Q33" s="20">
        <f t="shared" si="5"/>
        <v>1.3492647058823528</v>
      </c>
      <c r="R33" s="20">
        <f t="shared" si="6"/>
        <v>0.8157169117647058</v>
      </c>
      <c r="S33" s="20">
        <f t="shared" si="7"/>
        <v>0.5330882352941176</v>
      </c>
      <c r="T33" s="20">
        <f t="shared" si="8"/>
        <v>1.639705882352941</v>
      </c>
    </row>
    <row r="34" spans="1:20" ht="12.75">
      <c r="A34" s="14" t="s">
        <v>1086</v>
      </c>
      <c r="B34" s="15" t="s">
        <v>353</v>
      </c>
      <c r="C34" s="2">
        <v>5</v>
      </c>
      <c r="E34" s="2">
        <f>228+304+273+316+2</f>
        <v>1123</v>
      </c>
      <c r="G34" s="2">
        <f>458+536+543+545+3</f>
        <v>2085</v>
      </c>
      <c r="H34" s="2">
        <f>2663+3485+3056+3575+15</f>
        <v>12794</v>
      </c>
      <c r="I34" s="2">
        <f>16+21+14+18+0</f>
        <v>69</v>
      </c>
      <c r="J34" s="2">
        <f>13+10+18+17+0</f>
        <v>58</v>
      </c>
      <c r="K34" s="16">
        <f t="shared" si="0"/>
        <v>0.5386091127098321</v>
      </c>
      <c r="L34" s="17">
        <f t="shared" si="1"/>
        <v>6.13621103117506</v>
      </c>
      <c r="M34" s="16">
        <f t="shared" si="2"/>
        <v>0.033093525179856115</v>
      </c>
      <c r="N34" s="16">
        <f t="shared" si="3"/>
        <v>0.027817745803357313</v>
      </c>
      <c r="O34" s="19">
        <f t="shared" si="4"/>
        <v>71.97541966426859</v>
      </c>
      <c r="Q34" s="20">
        <f t="shared" si="5"/>
        <v>1.1930455635491606</v>
      </c>
      <c r="R34" s="20">
        <f t="shared" si="6"/>
        <v>0.784052757793765</v>
      </c>
      <c r="S34" s="20">
        <f t="shared" si="7"/>
        <v>0.6618705035971223</v>
      </c>
      <c r="T34" s="20">
        <f t="shared" si="8"/>
        <v>1.679556354916067</v>
      </c>
    </row>
    <row r="35" spans="1:20" ht="12.75">
      <c r="A35" s="14" t="s">
        <v>1055</v>
      </c>
      <c r="B35" s="15" t="s">
        <v>751</v>
      </c>
      <c r="C35" s="2">
        <v>7</v>
      </c>
      <c r="E35" s="2">
        <f>391+328+64+19+279+313+14</f>
        <v>1408</v>
      </c>
      <c r="G35" s="2">
        <f>609+574+127+30+505+532+22</f>
        <v>2399</v>
      </c>
      <c r="H35" s="2">
        <f>3504+3593+636+201+2783+3614+151</f>
        <v>14482</v>
      </c>
      <c r="I35" s="2">
        <f>13+16+3+1+12+24+0</f>
        <v>69</v>
      </c>
      <c r="J35" s="2">
        <f>12+25+7+3+18+19+0</f>
        <v>84</v>
      </c>
      <c r="K35" s="16">
        <f t="shared" si="0"/>
        <v>0.5869112130054189</v>
      </c>
      <c r="L35" s="17">
        <f t="shared" si="1"/>
        <v>6.036681950812839</v>
      </c>
      <c r="M35" s="16">
        <f t="shared" si="2"/>
        <v>0.028761984160066693</v>
      </c>
      <c r="N35" s="16">
        <f t="shared" si="3"/>
        <v>0.035014589412255104</v>
      </c>
      <c r="O35" s="19">
        <f t="shared" si="4"/>
        <v>71.14335834375433</v>
      </c>
      <c r="Q35" s="20">
        <f t="shared" si="5"/>
        <v>1.4345560650270945</v>
      </c>
      <c r="R35" s="20">
        <f t="shared" si="6"/>
        <v>0.7591704877032097</v>
      </c>
      <c r="S35" s="20">
        <f t="shared" si="7"/>
        <v>0.5752396832013338</v>
      </c>
      <c r="T35" s="20">
        <f t="shared" si="8"/>
        <v>1.4996352646936224</v>
      </c>
    </row>
    <row r="36" spans="1:20" ht="12.75">
      <c r="A36" s="14" t="s">
        <v>1770</v>
      </c>
      <c r="B36" s="15" t="s">
        <v>50</v>
      </c>
      <c r="C36" s="2">
        <v>5</v>
      </c>
      <c r="E36" s="2">
        <f>286+243+192+257+338</f>
        <v>1316</v>
      </c>
      <c r="G36" s="2">
        <f>467+429+374+499+600</f>
        <v>2369</v>
      </c>
      <c r="H36" s="2">
        <f>3285+2623+2118+2927+3732</f>
        <v>14685</v>
      </c>
      <c r="I36" s="2">
        <f>15+17+11+16+19</f>
        <v>78</v>
      </c>
      <c r="J36" s="2">
        <f>19+13+20+17+11</f>
        <v>80</v>
      </c>
      <c r="K36" s="16">
        <f t="shared" si="0"/>
        <v>0.5555086534402701</v>
      </c>
      <c r="L36" s="17">
        <f t="shared" si="1"/>
        <v>6.198818066694808</v>
      </c>
      <c r="M36" s="16">
        <f t="shared" si="2"/>
        <v>0.03292528493035036</v>
      </c>
      <c r="N36" s="16">
        <f t="shared" si="3"/>
        <v>0.03376952300548755</v>
      </c>
      <c r="O36" s="19">
        <f t="shared" si="4"/>
        <v>71.10859012241451</v>
      </c>
      <c r="Q36" s="20">
        <f t="shared" si="5"/>
        <v>1.2775432672013505</v>
      </c>
      <c r="R36" s="20">
        <f t="shared" si="6"/>
        <v>0.799704516673702</v>
      </c>
      <c r="S36" s="20">
        <f t="shared" si="7"/>
        <v>0.6585056986070071</v>
      </c>
      <c r="T36" s="20">
        <f t="shared" si="8"/>
        <v>1.5307619248628113</v>
      </c>
    </row>
    <row r="37" spans="1:20" ht="12.75">
      <c r="A37" s="14" t="s">
        <v>1060</v>
      </c>
      <c r="B37" s="15" t="s">
        <v>276</v>
      </c>
      <c r="C37" s="2">
        <v>5</v>
      </c>
      <c r="E37" s="2">
        <f>144+2+251+315+305</f>
        <v>1017</v>
      </c>
      <c r="G37" s="2">
        <f>285+6+499+579+521</f>
        <v>1890</v>
      </c>
      <c r="H37" s="2">
        <f>1393+16+2475+3514+3109</f>
        <v>10507</v>
      </c>
      <c r="I37" s="2">
        <f>8+0+9+25+14</f>
        <v>56</v>
      </c>
      <c r="J37" s="2">
        <f>9+0+17+9+6</f>
        <v>41</v>
      </c>
      <c r="K37" s="16">
        <f t="shared" si="0"/>
        <v>0.5380952380952381</v>
      </c>
      <c r="L37" s="17">
        <f t="shared" si="1"/>
        <v>5.559259259259259</v>
      </c>
      <c r="M37" s="16">
        <f t="shared" si="2"/>
        <v>0.02962962962962963</v>
      </c>
      <c r="N37" s="16">
        <f t="shared" si="3"/>
        <v>0.021693121693121695</v>
      </c>
      <c r="O37" s="19">
        <f t="shared" si="4"/>
        <v>70.92592592592591</v>
      </c>
      <c r="Q37" s="20">
        <f t="shared" si="5"/>
        <v>1.1904761904761902</v>
      </c>
      <c r="R37" s="20">
        <f t="shared" si="6"/>
        <v>0.6398148148148148</v>
      </c>
      <c r="S37" s="20">
        <f t="shared" si="7"/>
        <v>0.5925925925925926</v>
      </c>
      <c r="T37" s="20">
        <f t="shared" si="8"/>
        <v>1.8326719576719577</v>
      </c>
    </row>
    <row r="38" spans="1:20" ht="12.75">
      <c r="A38" s="14" t="s">
        <v>1933</v>
      </c>
      <c r="B38" s="15" t="s">
        <v>65</v>
      </c>
      <c r="C38" s="2">
        <v>5</v>
      </c>
      <c r="E38" s="2">
        <f>1+14+39+168+293</f>
        <v>515</v>
      </c>
      <c r="G38" s="2">
        <f>2+38+92+329+562</f>
        <v>1023</v>
      </c>
      <c r="H38" s="2">
        <f>7+262+442+2364+3715</f>
        <v>6790</v>
      </c>
      <c r="I38" s="2">
        <f>0+3+3+14+27</f>
        <v>47</v>
      </c>
      <c r="J38" s="2">
        <f>0+2+5+13+20</f>
        <v>40</v>
      </c>
      <c r="K38" s="16">
        <f t="shared" si="0"/>
        <v>0.5034213098729228</v>
      </c>
      <c r="L38" s="17">
        <f t="shared" si="1"/>
        <v>6.637341153470186</v>
      </c>
      <c r="M38" s="16">
        <f t="shared" si="2"/>
        <v>0.04594330400782014</v>
      </c>
      <c r="N38" s="16">
        <f t="shared" si="3"/>
        <v>0.039100684261974585</v>
      </c>
      <c r="O38" s="19">
        <f t="shared" si="4"/>
        <v>70.71318018898664</v>
      </c>
      <c r="Q38" s="45">
        <f t="shared" si="5"/>
        <v>1.0171065493646139</v>
      </c>
      <c r="R38" s="20">
        <f t="shared" si="6"/>
        <v>0.9093352883675465</v>
      </c>
      <c r="S38" s="20">
        <f t="shared" si="7"/>
        <v>0.9188660801564027</v>
      </c>
      <c r="T38" s="20">
        <f t="shared" si="8"/>
        <v>1.3974828934506354</v>
      </c>
    </row>
    <row r="39" spans="1:20" ht="12.75">
      <c r="A39" s="14" t="s">
        <v>1079</v>
      </c>
      <c r="B39" s="15" t="s">
        <v>857</v>
      </c>
      <c r="C39" s="2">
        <v>4</v>
      </c>
      <c r="E39" s="2">
        <f>0+204+6+293</f>
        <v>503</v>
      </c>
      <c r="G39" s="2">
        <f>1+391+17+553</f>
        <v>962</v>
      </c>
      <c r="H39" s="2">
        <f>0+2768+73+3507</f>
        <v>6348</v>
      </c>
      <c r="I39" s="2">
        <f>0+16+0+21</f>
        <v>37</v>
      </c>
      <c r="J39" s="2">
        <f>0+19+0+17</f>
        <v>36</v>
      </c>
      <c r="K39" s="16">
        <f t="shared" si="0"/>
        <v>0.5228690228690228</v>
      </c>
      <c r="L39" s="17">
        <f t="shared" si="1"/>
        <v>6.598752598752599</v>
      </c>
      <c r="M39" s="16">
        <f t="shared" si="2"/>
        <v>0.038461538461538464</v>
      </c>
      <c r="N39" s="16">
        <f t="shared" si="3"/>
        <v>0.037422037422037424</v>
      </c>
      <c r="O39" s="19">
        <f t="shared" si="4"/>
        <v>70.37855162855162</v>
      </c>
      <c r="Q39" s="20">
        <f t="shared" si="5"/>
        <v>1.114345114345114</v>
      </c>
      <c r="R39" s="20">
        <f t="shared" si="6"/>
        <v>0.8996881496881497</v>
      </c>
      <c r="S39" s="20">
        <f t="shared" si="7"/>
        <v>0.7692307692307693</v>
      </c>
      <c r="T39" s="20">
        <f t="shared" si="8"/>
        <v>1.4394490644490643</v>
      </c>
    </row>
    <row r="40" spans="1:20" ht="12.75">
      <c r="A40" s="14" t="s">
        <v>1025</v>
      </c>
      <c r="B40" s="15" t="s">
        <v>363</v>
      </c>
      <c r="C40" s="2">
        <v>4</v>
      </c>
      <c r="E40" s="2">
        <f>271+233+41+14</f>
        <v>559</v>
      </c>
      <c r="G40" s="2">
        <f>507+491+93+22</f>
        <v>1113</v>
      </c>
      <c r="H40" s="2">
        <f>3817+3048+508+142</f>
        <v>7515</v>
      </c>
      <c r="I40" s="2">
        <f>28+14+3+0</f>
        <v>45</v>
      </c>
      <c r="J40" s="2">
        <f>12+26+6+0</f>
        <v>44</v>
      </c>
      <c r="K40" s="16">
        <f t="shared" si="0"/>
        <v>0.5022461814914645</v>
      </c>
      <c r="L40" s="17">
        <f t="shared" si="1"/>
        <v>6.752021563342318</v>
      </c>
      <c r="M40" s="16">
        <f t="shared" si="2"/>
        <v>0.04043126684636118</v>
      </c>
      <c r="N40" s="16">
        <f t="shared" si="3"/>
        <v>0.039532794249775384</v>
      </c>
      <c r="O40" s="19">
        <f t="shared" si="4"/>
        <v>69.07569631626235</v>
      </c>
      <c r="Q40" s="20">
        <f t="shared" si="5"/>
        <v>1.0112309074573225</v>
      </c>
      <c r="R40" s="20">
        <f t="shared" si="6"/>
        <v>0.9380053908355794</v>
      </c>
      <c r="S40" s="20">
        <f t="shared" si="7"/>
        <v>0.8086253369272236</v>
      </c>
      <c r="T40" s="20">
        <f t="shared" si="8"/>
        <v>1.3866801437556153</v>
      </c>
    </row>
    <row r="41" spans="1:20" ht="12.75">
      <c r="A41" s="14" t="s">
        <v>1018</v>
      </c>
      <c r="B41" s="15" t="s">
        <v>589</v>
      </c>
      <c r="C41" s="2">
        <v>5</v>
      </c>
      <c r="E41" s="2">
        <f>336+270+294+258+9</f>
        <v>1167</v>
      </c>
      <c r="G41" s="2">
        <f>583+501+542+526+18</f>
        <v>2170</v>
      </c>
      <c r="H41" s="2">
        <f>4302+3008+2904+3238+67</f>
        <v>13519</v>
      </c>
      <c r="I41" s="2">
        <f>35+14+8+18+0</f>
        <v>75</v>
      </c>
      <c r="J41" s="2">
        <f>17+27+16+24+1</f>
        <v>85</v>
      </c>
      <c r="K41" s="16">
        <f aca="true" t="shared" si="9" ref="K41:K72">E41/G41</f>
        <v>0.5377880184331797</v>
      </c>
      <c r="L41" s="17">
        <f aca="true" t="shared" si="10" ref="L41:L72">H41/G41</f>
        <v>6.2299539170506915</v>
      </c>
      <c r="M41" s="16">
        <f aca="true" t="shared" si="11" ref="M41:M72">I41/G41</f>
        <v>0.03456221198156682</v>
      </c>
      <c r="N41" s="16">
        <f aca="true" t="shared" si="12" ref="N41:N72">J41/G41</f>
        <v>0.03917050691244239</v>
      </c>
      <c r="O41" s="19">
        <f aca="true" t="shared" si="13" ref="O41:O72">SUM(Q41:T41)*100/6</f>
        <v>68.0568356374808</v>
      </c>
      <c r="Q41" s="20">
        <f t="shared" si="5"/>
        <v>1.1889400921658984</v>
      </c>
      <c r="R41" s="20">
        <f t="shared" si="6"/>
        <v>0.8074884792626729</v>
      </c>
      <c r="S41" s="20">
        <f t="shared" si="7"/>
        <v>0.6912442396313364</v>
      </c>
      <c r="T41" s="20">
        <f aca="true" t="shared" si="14" ref="T41:T72">IF(G41=0,0,(0.095-J41/G41)/0.04)</f>
        <v>1.3957373271889402</v>
      </c>
    </row>
    <row r="42" spans="1:20" ht="12.75">
      <c r="A42" s="14" t="s">
        <v>1718</v>
      </c>
      <c r="B42" s="15" t="s">
        <v>602</v>
      </c>
      <c r="C42" s="2">
        <v>3</v>
      </c>
      <c r="E42" s="2">
        <f>9+300+275</f>
        <v>584</v>
      </c>
      <c r="G42" s="2">
        <f>24+494+472</f>
        <v>990</v>
      </c>
      <c r="H42" s="2">
        <f>81+3170+2507</f>
        <v>5758</v>
      </c>
      <c r="I42" s="2">
        <f>1+16+12</f>
        <v>29</v>
      </c>
      <c r="J42" s="2">
        <f>4+12+25</f>
        <v>41</v>
      </c>
      <c r="K42" s="16">
        <f t="shared" si="9"/>
        <v>0.5898989898989899</v>
      </c>
      <c r="L42" s="17">
        <f t="shared" si="10"/>
        <v>5.816161616161616</v>
      </c>
      <c r="M42" s="16">
        <f t="shared" si="11"/>
        <v>0.029292929292929294</v>
      </c>
      <c r="N42" s="16">
        <f t="shared" si="12"/>
        <v>0.04141414141414142</v>
      </c>
      <c r="O42" s="19">
        <f t="shared" si="13"/>
        <v>67.98400673400673</v>
      </c>
      <c r="Q42" s="20">
        <f t="shared" si="5"/>
        <v>1.4494949494949496</v>
      </c>
      <c r="R42" s="20">
        <f t="shared" si="6"/>
        <v>0.704040404040404</v>
      </c>
      <c r="S42" s="20">
        <f t="shared" si="7"/>
        <v>0.5858585858585859</v>
      </c>
      <c r="T42" s="20">
        <f t="shared" si="14"/>
        <v>1.3396464646464645</v>
      </c>
    </row>
    <row r="43" spans="1:20" ht="12.75">
      <c r="A43" s="14" t="s">
        <v>1075</v>
      </c>
      <c r="B43" s="15" t="s">
        <v>1999</v>
      </c>
      <c r="C43" s="2">
        <v>3</v>
      </c>
      <c r="E43" s="2">
        <f>12+300+244</f>
        <v>556</v>
      </c>
      <c r="G43" s="2">
        <f>27+579+500</f>
        <v>1106</v>
      </c>
      <c r="H43" s="2">
        <f>79+3431+2951</f>
        <v>6461</v>
      </c>
      <c r="I43" s="2">
        <f>0+21+9</f>
        <v>30</v>
      </c>
      <c r="J43" s="2">
        <f>0+18+11</f>
        <v>29</v>
      </c>
      <c r="K43" s="16">
        <f t="shared" si="9"/>
        <v>0.5027124773960217</v>
      </c>
      <c r="L43" s="17">
        <f t="shared" si="10"/>
        <v>5.841772151898734</v>
      </c>
      <c r="M43" s="16">
        <f t="shared" si="11"/>
        <v>0.027124773960216998</v>
      </c>
      <c r="N43" s="16">
        <f t="shared" si="12"/>
        <v>0.026220614828209764</v>
      </c>
      <c r="O43" s="19">
        <f t="shared" si="13"/>
        <v>66.43309222423146</v>
      </c>
      <c r="Q43" s="20">
        <f t="shared" si="5"/>
        <v>1.0135623869801083</v>
      </c>
      <c r="R43" s="20">
        <f t="shared" si="6"/>
        <v>0.7104430379746836</v>
      </c>
      <c r="S43" s="20">
        <f t="shared" si="7"/>
        <v>0.5424954792043399</v>
      </c>
      <c r="T43" s="20">
        <f t="shared" si="14"/>
        <v>1.7194846292947559</v>
      </c>
    </row>
    <row r="44" spans="1:20" ht="12.75">
      <c r="A44" s="14" t="s">
        <v>1062</v>
      </c>
      <c r="B44" s="15" t="s">
        <v>737</v>
      </c>
      <c r="C44" s="2">
        <v>4</v>
      </c>
      <c r="E44" s="2">
        <f>20+280+257+281</f>
        <v>838</v>
      </c>
      <c r="G44" s="2">
        <f>60+547+509+529</f>
        <v>1645</v>
      </c>
      <c r="H44" s="2">
        <f>381+3606+3198+2838</f>
        <v>10023</v>
      </c>
      <c r="I44" s="2">
        <f>3+20+16+14</f>
        <v>53</v>
      </c>
      <c r="J44" s="2">
        <f>2+17+26+15</f>
        <v>60</v>
      </c>
      <c r="K44" s="16">
        <f t="shared" si="9"/>
        <v>0.5094224924012158</v>
      </c>
      <c r="L44" s="17">
        <f t="shared" si="10"/>
        <v>6.093009118541033</v>
      </c>
      <c r="M44" s="16">
        <f t="shared" si="11"/>
        <v>0.03221884498480243</v>
      </c>
      <c r="N44" s="16">
        <f t="shared" si="12"/>
        <v>0.0364741641337386</v>
      </c>
      <c r="O44" s="19">
        <f t="shared" si="13"/>
        <v>65.46479229989868</v>
      </c>
      <c r="Q44" s="20">
        <f t="shared" si="5"/>
        <v>1.0471124620060792</v>
      </c>
      <c r="R44" s="20">
        <f t="shared" si="6"/>
        <v>0.7732522796352583</v>
      </c>
      <c r="S44" s="20">
        <f t="shared" si="7"/>
        <v>0.6443768996960486</v>
      </c>
      <c r="T44" s="20">
        <f t="shared" si="14"/>
        <v>1.463145896656535</v>
      </c>
    </row>
    <row r="45" spans="1:20" ht="12.75">
      <c r="A45" s="14" t="s">
        <v>1046</v>
      </c>
      <c r="B45" s="15" t="s">
        <v>470</v>
      </c>
      <c r="C45" s="2">
        <v>3</v>
      </c>
      <c r="E45" s="2">
        <f>168+94+204</f>
        <v>466</v>
      </c>
      <c r="G45" s="2">
        <f>358+235+473</f>
        <v>1066</v>
      </c>
      <c r="H45" s="2">
        <f>2426+1393+3196</f>
        <v>7015</v>
      </c>
      <c r="I45" s="2">
        <f>18+19+18</f>
        <v>55</v>
      </c>
      <c r="J45" s="2">
        <f>12+10+30</f>
        <v>52</v>
      </c>
      <c r="K45" s="16">
        <f t="shared" si="9"/>
        <v>0.4371482176360225</v>
      </c>
      <c r="L45" s="17">
        <f t="shared" si="10"/>
        <v>6.580675422138837</v>
      </c>
      <c r="M45" s="16">
        <f t="shared" si="11"/>
        <v>0.051594746716697934</v>
      </c>
      <c r="N45" s="16">
        <f t="shared" si="12"/>
        <v>0.04878048780487805</v>
      </c>
      <c r="O45" s="19">
        <f t="shared" si="13"/>
        <v>62.804878048780495</v>
      </c>
      <c r="Q45" s="20">
        <f t="shared" si="5"/>
        <v>0.6857410881801126</v>
      </c>
      <c r="R45" s="20">
        <f t="shared" si="6"/>
        <v>0.8951688555347093</v>
      </c>
      <c r="S45" s="20">
        <f t="shared" si="7"/>
        <v>1.0318949343339585</v>
      </c>
      <c r="T45" s="20">
        <f t="shared" si="14"/>
        <v>1.1554878048780488</v>
      </c>
    </row>
    <row r="46" spans="1:20" ht="12.75">
      <c r="A46" s="14" t="s">
        <v>479</v>
      </c>
      <c r="B46" s="15" t="s">
        <v>911</v>
      </c>
      <c r="C46" s="2">
        <v>3</v>
      </c>
      <c r="E46" s="2">
        <f>1+257+165</f>
        <v>423</v>
      </c>
      <c r="G46" s="2">
        <f>4+507+425</f>
        <v>936</v>
      </c>
      <c r="H46" s="2">
        <f>11+3161+2087</f>
        <v>5259</v>
      </c>
      <c r="I46" s="2">
        <f>0+21+9</f>
        <v>30</v>
      </c>
      <c r="J46" s="2">
        <f>0+19+14</f>
        <v>33</v>
      </c>
      <c r="K46" s="16">
        <f t="shared" si="9"/>
        <v>0.4519230769230769</v>
      </c>
      <c r="L46" s="17">
        <f t="shared" si="10"/>
        <v>5.618589743589744</v>
      </c>
      <c r="M46" s="16">
        <f t="shared" si="11"/>
        <v>0.03205128205128205</v>
      </c>
      <c r="N46" s="16">
        <f t="shared" si="12"/>
        <v>0.035256410256410256</v>
      </c>
      <c r="O46" s="19">
        <f t="shared" si="13"/>
        <v>59.14797008547009</v>
      </c>
      <c r="Q46" s="20">
        <f t="shared" si="5"/>
        <v>0.7596153846153847</v>
      </c>
      <c r="R46" s="20">
        <f t="shared" si="6"/>
        <v>0.6546474358974359</v>
      </c>
      <c r="S46" s="20">
        <f t="shared" si="7"/>
        <v>0.641025641025641</v>
      </c>
      <c r="T46" s="20">
        <f t="shared" si="14"/>
        <v>1.4935897435897436</v>
      </c>
    </row>
    <row r="47" spans="1:20" ht="12.75">
      <c r="A47" s="14" t="s">
        <v>97</v>
      </c>
      <c r="B47" s="15" t="s">
        <v>98</v>
      </c>
      <c r="C47" s="2">
        <v>1</v>
      </c>
      <c r="E47" s="2">
        <f>3</f>
        <v>3</v>
      </c>
      <c r="G47" s="2">
        <f>3</f>
        <v>3</v>
      </c>
      <c r="H47" s="2">
        <f>57</f>
        <v>57</v>
      </c>
      <c r="I47" s="2">
        <f>1</f>
        <v>1</v>
      </c>
      <c r="J47" s="2">
        <f>0</f>
        <v>0</v>
      </c>
      <c r="K47" s="16">
        <f t="shared" si="9"/>
        <v>1</v>
      </c>
      <c r="L47" s="17">
        <f t="shared" si="10"/>
        <v>19</v>
      </c>
      <c r="M47" s="16">
        <f t="shared" si="11"/>
        <v>0.3333333333333333</v>
      </c>
      <c r="N47" s="16">
        <f t="shared" si="12"/>
        <v>0</v>
      </c>
      <c r="O47" s="19">
        <f t="shared" si="13"/>
        <v>158.33333333333334</v>
      </c>
      <c r="Q47" s="38">
        <v>2.375</v>
      </c>
      <c r="R47" s="38">
        <v>2.375</v>
      </c>
      <c r="S47" s="38">
        <v>2.375</v>
      </c>
      <c r="T47" s="20">
        <f t="shared" si="14"/>
        <v>2.375</v>
      </c>
    </row>
    <row r="48" spans="1:20" ht="12.75">
      <c r="A48" s="14" t="s">
        <v>1068</v>
      </c>
      <c r="B48" s="15" t="s">
        <v>1026</v>
      </c>
      <c r="C48" s="2">
        <v>1</v>
      </c>
      <c r="E48" s="2">
        <v>4</v>
      </c>
      <c r="G48" s="2">
        <v>6</v>
      </c>
      <c r="H48" s="2">
        <v>102</v>
      </c>
      <c r="I48" s="2">
        <v>1</v>
      </c>
      <c r="J48" s="2">
        <v>0</v>
      </c>
      <c r="K48" s="16">
        <f t="shared" si="9"/>
        <v>0.6666666666666666</v>
      </c>
      <c r="L48" s="17">
        <f t="shared" si="10"/>
        <v>17</v>
      </c>
      <c r="M48" s="16">
        <f t="shared" si="11"/>
        <v>0.16666666666666666</v>
      </c>
      <c r="N48" s="16">
        <f t="shared" si="12"/>
        <v>0</v>
      </c>
      <c r="O48" s="19">
        <f t="shared" si="13"/>
        <v>149.30555555555554</v>
      </c>
      <c r="Q48" s="20">
        <f>IF(G48=0,0,((E48/G48)-0.3)/0.2)</f>
        <v>1.833333333333333</v>
      </c>
      <c r="R48" s="38">
        <v>2.375</v>
      </c>
      <c r="S48" s="38">
        <v>2.375</v>
      </c>
      <c r="T48" s="20">
        <f t="shared" si="14"/>
        <v>2.375</v>
      </c>
    </row>
    <row r="49" spans="1:20" ht="12.75">
      <c r="A49" s="14" t="s">
        <v>546</v>
      </c>
      <c r="B49" s="15" t="s">
        <v>545</v>
      </c>
      <c r="C49" s="2">
        <v>1</v>
      </c>
      <c r="E49" s="2">
        <f>22</f>
        <v>22</v>
      </c>
      <c r="G49" s="2">
        <f>34</f>
        <v>34</v>
      </c>
      <c r="H49" s="2">
        <f>259</f>
        <v>259</v>
      </c>
      <c r="I49" s="2">
        <f>3</f>
        <v>3</v>
      </c>
      <c r="J49" s="2">
        <f>0</f>
        <v>0</v>
      </c>
      <c r="K49" s="16">
        <f t="shared" si="9"/>
        <v>0.6470588235294118</v>
      </c>
      <c r="L49" s="17">
        <f t="shared" si="10"/>
        <v>7.617647058823529</v>
      </c>
      <c r="M49" s="16">
        <f t="shared" si="11"/>
        <v>0.08823529411764706</v>
      </c>
      <c r="N49" s="16">
        <f t="shared" si="12"/>
        <v>0</v>
      </c>
      <c r="O49" s="19">
        <f t="shared" si="13"/>
        <v>117.15686274509802</v>
      </c>
      <c r="Q49" s="20">
        <f>IF(G49=0,0,((E49/G49)-0.3)/0.2)</f>
        <v>1.7352941176470589</v>
      </c>
      <c r="R49" s="20">
        <f aca="true" t="shared" si="15" ref="R49:R88">IF(G49=0,0,((H49/G49)-3)/4)</f>
        <v>1.1544117647058822</v>
      </c>
      <c r="S49" s="20">
        <f aca="true" t="shared" si="16" ref="S49:S80">IF(G49=0,0,I49/G49/0.05)</f>
        <v>1.7647058823529411</v>
      </c>
      <c r="T49" s="20">
        <f t="shared" si="14"/>
        <v>2.375</v>
      </c>
    </row>
    <row r="50" spans="1:20" ht="12.75">
      <c r="A50" s="14" t="s">
        <v>1069</v>
      </c>
      <c r="B50" s="15" t="s">
        <v>1070</v>
      </c>
      <c r="C50" s="2">
        <v>1</v>
      </c>
      <c r="E50" s="2">
        <v>1</v>
      </c>
      <c r="G50" s="2">
        <v>1</v>
      </c>
      <c r="H50" s="2">
        <v>11</v>
      </c>
      <c r="I50" s="2">
        <v>0</v>
      </c>
      <c r="J50" s="2">
        <v>0</v>
      </c>
      <c r="K50" s="16">
        <f t="shared" si="9"/>
        <v>1</v>
      </c>
      <c r="L50" s="17">
        <f t="shared" si="10"/>
        <v>11</v>
      </c>
      <c r="M50" s="16">
        <f t="shared" si="11"/>
        <v>0</v>
      </c>
      <c r="N50" s="16">
        <f t="shared" si="12"/>
        <v>0</v>
      </c>
      <c r="O50" s="19">
        <f t="shared" si="13"/>
        <v>112.5</v>
      </c>
      <c r="Q50" s="38">
        <v>2.375</v>
      </c>
      <c r="R50" s="20">
        <f t="shared" si="15"/>
        <v>2</v>
      </c>
      <c r="S50" s="20">
        <f t="shared" si="16"/>
        <v>0</v>
      </c>
      <c r="T50" s="20">
        <f t="shared" si="14"/>
        <v>2.375</v>
      </c>
    </row>
    <row r="51" spans="1:20" ht="12.75">
      <c r="A51" s="14" t="s">
        <v>486</v>
      </c>
      <c r="B51" s="15" t="s">
        <v>944</v>
      </c>
      <c r="C51" s="2">
        <v>2</v>
      </c>
      <c r="E51" s="2">
        <f>0+4</f>
        <v>4</v>
      </c>
      <c r="G51" s="2">
        <f>1+4</f>
        <v>5</v>
      </c>
      <c r="H51" s="2">
        <f>0+45</f>
        <v>45</v>
      </c>
      <c r="I51" s="2">
        <f>0+0</f>
        <v>0</v>
      </c>
      <c r="J51" s="2">
        <f>0+0</f>
        <v>0</v>
      </c>
      <c r="K51" s="16">
        <f t="shared" si="9"/>
        <v>0.8</v>
      </c>
      <c r="L51" s="17">
        <f t="shared" si="10"/>
        <v>9</v>
      </c>
      <c r="M51" s="16">
        <f t="shared" si="11"/>
        <v>0</v>
      </c>
      <c r="N51" s="16">
        <f t="shared" si="12"/>
        <v>0</v>
      </c>
      <c r="O51" s="19">
        <f t="shared" si="13"/>
        <v>104.16666666666667</v>
      </c>
      <c r="Q51" s="38">
        <v>2.375</v>
      </c>
      <c r="R51" s="20">
        <f t="shared" si="15"/>
        <v>1.5</v>
      </c>
      <c r="S51" s="20">
        <f t="shared" si="16"/>
        <v>0</v>
      </c>
      <c r="T51" s="20">
        <f t="shared" si="14"/>
        <v>2.375</v>
      </c>
    </row>
    <row r="52" spans="1:20" ht="12.75">
      <c r="A52" s="14" t="s">
        <v>1011</v>
      </c>
      <c r="B52" s="15" t="s">
        <v>1013</v>
      </c>
      <c r="C52" s="2">
        <v>1</v>
      </c>
      <c r="E52" s="2">
        <v>237</v>
      </c>
      <c r="G52" s="2">
        <v>405</v>
      </c>
      <c r="H52" s="2">
        <v>3159</v>
      </c>
      <c r="I52" s="2">
        <v>25</v>
      </c>
      <c r="J52" s="2">
        <v>10</v>
      </c>
      <c r="K52" s="16">
        <f t="shared" si="9"/>
        <v>0.5851851851851851</v>
      </c>
      <c r="L52" s="17">
        <f t="shared" si="10"/>
        <v>7.8</v>
      </c>
      <c r="M52" s="16">
        <f t="shared" si="11"/>
        <v>0.06172839506172839</v>
      </c>
      <c r="N52" s="16">
        <f t="shared" si="12"/>
        <v>0.024691358024691357</v>
      </c>
      <c r="O52" s="19">
        <f t="shared" si="13"/>
        <v>93.63683127572017</v>
      </c>
      <c r="Q52" s="20">
        <f>IF(G52=0,0,((E52/G52)-0.3)/0.2)</f>
        <v>1.4259259259259256</v>
      </c>
      <c r="R52" s="20">
        <f t="shared" si="15"/>
        <v>1.2</v>
      </c>
      <c r="S52" s="20">
        <f t="shared" si="16"/>
        <v>1.2345679012345678</v>
      </c>
      <c r="T52" s="20">
        <f t="shared" si="14"/>
        <v>1.757716049382716</v>
      </c>
    </row>
    <row r="53" spans="1:20" ht="12.75">
      <c r="A53" s="14" t="s">
        <v>528</v>
      </c>
      <c r="B53" s="15" t="s">
        <v>639</v>
      </c>
      <c r="C53" s="2">
        <v>2</v>
      </c>
      <c r="E53" s="2">
        <f>8+0</f>
        <v>8</v>
      </c>
      <c r="G53" s="2">
        <f>11+2</f>
        <v>13</v>
      </c>
      <c r="H53" s="2">
        <f>120+0</f>
        <v>120</v>
      </c>
      <c r="I53" s="2">
        <f>0+0</f>
        <v>0</v>
      </c>
      <c r="J53" s="2">
        <f>0+0</f>
        <v>0</v>
      </c>
      <c r="K53" s="16">
        <f t="shared" si="9"/>
        <v>0.6153846153846154</v>
      </c>
      <c r="L53" s="17">
        <f t="shared" si="10"/>
        <v>9.23076923076923</v>
      </c>
      <c r="M53" s="16">
        <f t="shared" si="11"/>
        <v>0</v>
      </c>
      <c r="N53" s="16">
        <f t="shared" si="12"/>
        <v>0</v>
      </c>
      <c r="O53" s="19">
        <f t="shared" si="13"/>
        <v>91.82692307692308</v>
      </c>
      <c r="Q53" s="20">
        <f>IF(G53=0,0,((E53/G53)-0.3)/0.2)</f>
        <v>1.576923076923077</v>
      </c>
      <c r="R53" s="20">
        <f t="shared" si="15"/>
        <v>1.5576923076923075</v>
      </c>
      <c r="S53" s="20">
        <f t="shared" si="16"/>
        <v>0</v>
      </c>
      <c r="T53" s="20">
        <f t="shared" si="14"/>
        <v>2.375</v>
      </c>
    </row>
    <row r="54" spans="1:20" ht="12.75">
      <c r="A54" s="14" t="s">
        <v>364</v>
      </c>
      <c r="B54" s="15" t="s">
        <v>365</v>
      </c>
      <c r="C54" s="2">
        <v>1</v>
      </c>
      <c r="E54" s="2">
        <v>1</v>
      </c>
      <c r="G54" s="2">
        <v>1</v>
      </c>
      <c r="H54" s="2">
        <v>6</v>
      </c>
      <c r="I54" s="2">
        <v>0</v>
      </c>
      <c r="J54" s="2">
        <v>0</v>
      </c>
      <c r="K54" s="16">
        <f t="shared" si="9"/>
        <v>1</v>
      </c>
      <c r="L54" s="17">
        <f t="shared" si="10"/>
        <v>6</v>
      </c>
      <c r="M54" s="16">
        <f t="shared" si="11"/>
        <v>0</v>
      </c>
      <c r="N54" s="16">
        <f t="shared" si="12"/>
        <v>0</v>
      </c>
      <c r="O54" s="19">
        <f t="shared" si="13"/>
        <v>91.66666666666667</v>
      </c>
      <c r="Q54" s="38">
        <v>2.375</v>
      </c>
      <c r="R54" s="20">
        <f t="shared" si="15"/>
        <v>0.75</v>
      </c>
      <c r="S54" s="20">
        <f t="shared" si="16"/>
        <v>0</v>
      </c>
      <c r="T54" s="20">
        <f t="shared" si="14"/>
        <v>2.375</v>
      </c>
    </row>
    <row r="55" spans="1:20" ht="12.75">
      <c r="A55" s="14" t="s">
        <v>1088</v>
      </c>
      <c r="B55" s="15" t="s">
        <v>1089</v>
      </c>
      <c r="C55" s="2">
        <v>1</v>
      </c>
      <c r="E55" s="2">
        <v>270</v>
      </c>
      <c r="G55" s="2">
        <v>385</v>
      </c>
      <c r="H55" s="2">
        <v>2308</v>
      </c>
      <c r="I55" s="2">
        <v>10</v>
      </c>
      <c r="J55" s="2">
        <v>5</v>
      </c>
      <c r="K55" s="16">
        <f t="shared" si="9"/>
        <v>0.7012987012987013</v>
      </c>
      <c r="L55" s="17">
        <f t="shared" si="10"/>
        <v>5.994805194805195</v>
      </c>
      <c r="M55" s="16">
        <f t="shared" si="11"/>
        <v>0.025974025974025976</v>
      </c>
      <c r="N55" s="16">
        <f t="shared" si="12"/>
        <v>0.012987012987012988</v>
      </c>
      <c r="O55" s="19">
        <f t="shared" si="13"/>
        <v>88.75</v>
      </c>
      <c r="Q55" s="20">
        <f aca="true" t="shared" si="17" ref="Q55:Q78">IF(G55=0,0,((E55/G55)-0.3)/0.2)</f>
        <v>2.0064935064935066</v>
      </c>
      <c r="R55" s="20">
        <f t="shared" si="15"/>
        <v>0.7487012987012986</v>
      </c>
      <c r="S55" s="20">
        <f t="shared" si="16"/>
        <v>0.5194805194805194</v>
      </c>
      <c r="T55" s="20">
        <f t="shared" si="14"/>
        <v>2.050324675324675</v>
      </c>
    </row>
    <row r="56" spans="1:20" ht="12.75">
      <c r="A56" s="14" t="s">
        <v>1022</v>
      </c>
      <c r="B56" s="15" t="s">
        <v>1015</v>
      </c>
      <c r="C56" s="2">
        <v>1</v>
      </c>
      <c r="E56" s="2">
        <v>115</v>
      </c>
      <c r="G56" s="2">
        <v>185</v>
      </c>
      <c r="H56" s="2">
        <v>1247</v>
      </c>
      <c r="I56" s="2">
        <v>6</v>
      </c>
      <c r="J56" s="2">
        <v>2</v>
      </c>
      <c r="K56" s="16">
        <f t="shared" si="9"/>
        <v>0.6216216216216216</v>
      </c>
      <c r="L56" s="17">
        <f t="shared" si="10"/>
        <v>6.7405405405405405</v>
      </c>
      <c r="M56" s="16">
        <f t="shared" si="11"/>
        <v>0.032432432432432434</v>
      </c>
      <c r="N56" s="16">
        <f t="shared" si="12"/>
        <v>0.010810810810810811</v>
      </c>
      <c r="O56" s="19">
        <f t="shared" si="13"/>
        <v>88.27702702702703</v>
      </c>
      <c r="Q56" s="20">
        <f t="shared" si="17"/>
        <v>1.608108108108108</v>
      </c>
      <c r="R56" s="20">
        <f t="shared" si="15"/>
        <v>0.9351351351351351</v>
      </c>
      <c r="S56" s="20">
        <f t="shared" si="16"/>
        <v>0.6486486486486487</v>
      </c>
      <c r="T56" s="20">
        <f t="shared" si="14"/>
        <v>2.10472972972973</v>
      </c>
    </row>
    <row r="57" spans="1:20" ht="12.75">
      <c r="A57" s="14" t="s">
        <v>1853</v>
      </c>
      <c r="B57" s="15" t="s">
        <v>603</v>
      </c>
      <c r="C57" s="2">
        <v>3</v>
      </c>
      <c r="E57" s="2">
        <f>145+228+33</f>
        <v>406</v>
      </c>
      <c r="G57" s="2">
        <f>208+325+68</f>
        <v>601</v>
      </c>
      <c r="H57" s="2">
        <f>1378+2126+299</f>
        <v>3803</v>
      </c>
      <c r="I57" s="2">
        <f>10+11+1</f>
        <v>22</v>
      </c>
      <c r="J57" s="2">
        <f>3+10+4</f>
        <v>17</v>
      </c>
      <c r="K57" s="16">
        <f t="shared" si="9"/>
        <v>0.6755407653910149</v>
      </c>
      <c r="L57" s="17">
        <f t="shared" si="10"/>
        <v>6.327787021630615</v>
      </c>
      <c r="M57" s="16">
        <f t="shared" si="11"/>
        <v>0.036605657237936774</v>
      </c>
      <c r="N57" s="16">
        <f t="shared" si="12"/>
        <v>0.028286189683860232</v>
      </c>
      <c r="O57" s="19">
        <f t="shared" si="13"/>
        <v>85.16014975041597</v>
      </c>
      <c r="Q57" s="20">
        <f t="shared" si="17"/>
        <v>1.8777038269550745</v>
      </c>
      <c r="R57" s="20">
        <f t="shared" si="15"/>
        <v>0.8319467554076538</v>
      </c>
      <c r="S57" s="20">
        <f t="shared" si="16"/>
        <v>0.7321131447587355</v>
      </c>
      <c r="T57" s="20">
        <f t="shared" si="14"/>
        <v>1.6678452579034941</v>
      </c>
    </row>
    <row r="58" spans="1:20" ht="12.75">
      <c r="A58" s="14" t="s">
        <v>1071</v>
      </c>
      <c r="B58" s="15" t="s">
        <v>1841</v>
      </c>
      <c r="C58" s="2">
        <v>2</v>
      </c>
      <c r="E58" s="2">
        <f>2+0</f>
        <v>2</v>
      </c>
      <c r="G58" s="2">
        <f>2+1</f>
        <v>3</v>
      </c>
      <c r="H58" s="2">
        <f>19+0</f>
        <v>19</v>
      </c>
      <c r="I58" s="2">
        <f>0+0</f>
        <v>0</v>
      </c>
      <c r="J58" s="2">
        <f>0+0</f>
        <v>0</v>
      </c>
      <c r="K58" s="16">
        <f t="shared" si="9"/>
        <v>0.6666666666666666</v>
      </c>
      <c r="L58" s="17">
        <f t="shared" si="10"/>
        <v>6.333333333333333</v>
      </c>
      <c r="M58" s="16">
        <f t="shared" si="11"/>
        <v>0</v>
      </c>
      <c r="N58" s="16">
        <f t="shared" si="12"/>
        <v>0</v>
      </c>
      <c r="O58" s="19">
        <f t="shared" si="13"/>
        <v>84.02777777777777</v>
      </c>
      <c r="Q58" s="20">
        <f t="shared" si="17"/>
        <v>1.833333333333333</v>
      </c>
      <c r="R58" s="20">
        <f t="shared" si="15"/>
        <v>0.8333333333333333</v>
      </c>
      <c r="S58" s="20">
        <f t="shared" si="16"/>
        <v>0</v>
      </c>
      <c r="T58" s="20">
        <f t="shared" si="14"/>
        <v>2.375</v>
      </c>
    </row>
    <row r="59" spans="1:20" ht="12.75">
      <c r="A59" s="14" t="s">
        <v>786</v>
      </c>
      <c r="B59" s="15" t="s">
        <v>787</v>
      </c>
      <c r="C59" s="2">
        <v>1</v>
      </c>
      <c r="E59" s="2">
        <f>361</f>
        <v>361</v>
      </c>
      <c r="G59" s="2">
        <f>605</f>
        <v>605</v>
      </c>
      <c r="H59" s="2">
        <f>3496</f>
        <v>3496</v>
      </c>
      <c r="I59" s="2">
        <f>23</f>
        <v>23</v>
      </c>
      <c r="J59" s="2">
        <f>9</f>
        <v>9</v>
      </c>
      <c r="K59" s="16">
        <f t="shared" si="9"/>
        <v>0.596694214876033</v>
      </c>
      <c r="L59" s="17">
        <f t="shared" si="10"/>
        <v>5.7785123966942145</v>
      </c>
      <c r="M59" s="16">
        <f t="shared" si="11"/>
        <v>0.03801652892561983</v>
      </c>
      <c r="N59" s="16">
        <f t="shared" si="12"/>
        <v>0.01487603305785124</v>
      </c>
      <c r="O59" s="19">
        <f t="shared" si="13"/>
        <v>82.35881542699725</v>
      </c>
      <c r="Q59" s="20">
        <f t="shared" si="17"/>
        <v>1.4834710743801651</v>
      </c>
      <c r="R59" s="20">
        <f t="shared" si="15"/>
        <v>0.6946280991735536</v>
      </c>
      <c r="S59" s="20">
        <f t="shared" si="16"/>
        <v>0.7603305785123966</v>
      </c>
      <c r="T59" s="20">
        <f t="shared" si="14"/>
        <v>2.003099173553719</v>
      </c>
    </row>
    <row r="60" spans="1:20" ht="12.75">
      <c r="A60" s="14" t="s">
        <v>307</v>
      </c>
      <c r="B60" s="15" t="s">
        <v>308</v>
      </c>
      <c r="C60" s="2">
        <v>1</v>
      </c>
      <c r="E60" s="2">
        <f>354</f>
        <v>354</v>
      </c>
      <c r="G60" s="2">
        <f>588</f>
        <v>588</v>
      </c>
      <c r="H60" s="2">
        <f>3305</f>
        <v>3305</v>
      </c>
      <c r="I60" s="2">
        <f>20</f>
        <v>20</v>
      </c>
      <c r="J60" s="2">
        <f>7</f>
        <v>7</v>
      </c>
      <c r="K60" s="16">
        <f t="shared" si="9"/>
        <v>0.6020408163265306</v>
      </c>
      <c r="L60" s="17">
        <f t="shared" si="10"/>
        <v>5.620748299319728</v>
      </c>
      <c r="M60" s="16">
        <f t="shared" si="11"/>
        <v>0.034013605442176874</v>
      </c>
      <c r="N60" s="16">
        <f t="shared" si="12"/>
        <v>0.011904761904761904</v>
      </c>
      <c r="O60" s="19">
        <f t="shared" si="13"/>
        <v>82.05073696145125</v>
      </c>
      <c r="Q60" s="20">
        <f t="shared" si="17"/>
        <v>1.510204081632653</v>
      </c>
      <c r="R60" s="20">
        <f t="shared" si="15"/>
        <v>0.655187074829932</v>
      </c>
      <c r="S60" s="20">
        <f t="shared" si="16"/>
        <v>0.6802721088435374</v>
      </c>
      <c r="T60" s="20">
        <f t="shared" si="14"/>
        <v>2.0773809523809526</v>
      </c>
    </row>
    <row r="61" spans="1:20" ht="12.75">
      <c r="A61" s="14" t="s">
        <v>258</v>
      </c>
      <c r="B61" s="15" t="s">
        <v>259</v>
      </c>
      <c r="C61" s="2">
        <v>1</v>
      </c>
      <c r="E61" s="2">
        <f>270</f>
        <v>270</v>
      </c>
      <c r="G61" s="2">
        <f>511</f>
        <v>511</v>
      </c>
      <c r="H61" s="2">
        <f>3408</f>
        <v>3408</v>
      </c>
      <c r="I61" s="2">
        <f>24</f>
        <v>24</v>
      </c>
      <c r="J61" s="2">
        <f>10</f>
        <v>10</v>
      </c>
      <c r="K61" s="16">
        <f t="shared" si="9"/>
        <v>0.5283757338551859</v>
      </c>
      <c r="L61" s="17">
        <f t="shared" si="10"/>
        <v>6.669275929549902</v>
      </c>
      <c r="M61" s="16">
        <f t="shared" si="11"/>
        <v>0.046966731898238745</v>
      </c>
      <c r="N61" s="16">
        <f t="shared" si="12"/>
        <v>0.019569471624266144</v>
      </c>
      <c r="O61" s="19">
        <f t="shared" si="13"/>
        <v>81.40492498369211</v>
      </c>
      <c r="Q61" s="20">
        <f t="shared" si="17"/>
        <v>1.1418786692759293</v>
      </c>
      <c r="R61" s="20">
        <f t="shared" si="15"/>
        <v>0.9173189823874754</v>
      </c>
      <c r="S61" s="20">
        <f t="shared" si="16"/>
        <v>0.9393346379647749</v>
      </c>
      <c r="T61" s="20">
        <f t="shared" si="14"/>
        <v>1.8857632093933463</v>
      </c>
    </row>
    <row r="62" spans="1:20" ht="12.75">
      <c r="A62" s="14" t="s">
        <v>744</v>
      </c>
      <c r="B62" s="15" t="s">
        <v>745</v>
      </c>
      <c r="C62" s="2">
        <v>1</v>
      </c>
      <c r="E62" s="2">
        <f>246</f>
        <v>246</v>
      </c>
      <c r="G62" s="2">
        <f>465</f>
        <v>465</v>
      </c>
      <c r="H62" s="2">
        <f>3023</f>
        <v>3023</v>
      </c>
      <c r="I62" s="2">
        <f>17</f>
        <v>17</v>
      </c>
      <c r="J62" s="2">
        <f>6</f>
        <v>6</v>
      </c>
      <c r="K62" s="16">
        <f t="shared" si="9"/>
        <v>0.5290322580645161</v>
      </c>
      <c r="L62" s="17">
        <f t="shared" si="10"/>
        <v>6.501075268817204</v>
      </c>
      <c r="M62" s="16">
        <f t="shared" si="11"/>
        <v>0.03655913978494624</v>
      </c>
      <c r="N62" s="16">
        <f t="shared" si="12"/>
        <v>0.012903225806451613</v>
      </c>
      <c r="O62" s="19">
        <f t="shared" si="13"/>
        <v>80.06720430107528</v>
      </c>
      <c r="Q62" s="20">
        <f t="shared" si="17"/>
        <v>1.1451612903225807</v>
      </c>
      <c r="R62" s="20">
        <f t="shared" si="15"/>
        <v>0.875268817204301</v>
      </c>
      <c r="S62" s="20">
        <f t="shared" si="16"/>
        <v>0.7311827956989247</v>
      </c>
      <c r="T62" s="20">
        <f t="shared" si="14"/>
        <v>2.0524193548387095</v>
      </c>
    </row>
    <row r="63" spans="1:20" ht="12.75">
      <c r="A63" s="14" t="s">
        <v>1991</v>
      </c>
      <c r="B63" s="15" t="s">
        <v>871</v>
      </c>
      <c r="C63" s="2">
        <v>2</v>
      </c>
      <c r="E63" s="2">
        <f>2+316</f>
        <v>318</v>
      </c>
      <c r="G63" s="2">
        <f>3+559</f>
        <v>562</v>
      </c>
      <c r="H63" s="2">
        <f>19+3518</f>
        <v>3537</v>
      </c>
      <c r="I63" s="2">
        <f>0+22</f>
        <v>22</v>
      </c>
      <c r="J63" s="2">
        <f>0+14</f>
        <v>14</v>
      </c>
      <c r="K63" s="16">
        <f t="shared" si="9"/>
        <v>0.5658362989323843</v>
      </c>
      <c r="L63" s="17">
        <f t="shared" si="10"/>
        <v>6.2935943060498225</v>
      </c>
      <c r="M63" s="16">
        <f t="shared" si="11"/>
        <v>0.03914590747330961</v>
      </c>
      <c r="N63" s="16">
        <f t="shared" si="12"/>
        <v>0.02491103202846975</v>
      </c>
      <c r="O63" s="19">
        <f t="shared" si="13"/>
        <v>78.12870699881375</v>
      </c>
      <c r="Q63" s="20">
        <f t="shared" si="17"/>
        <v>1.3291814946619214</v>
      </c>
      <c r="R63" s="20">
        <f t="shared" si="15"/>
        <v>0.8233985765124556</v>
      </c>
      <c r="S63" s="20">
        <f t="shared" si="16"/>
        <v>0.7829181494661921</v>
      </c>
      <c r="T63" s="20">
        <f t="shared" si="14"/>
        <v>1.7522241992882561</v>
      </c>
    </row>
    <row r="64" spans="1:20" ht="12.75">
      <c r="A64" s="14" t="s">
        <v>1016</v>
      </c>
      <c r="B64" s="15" t="s">
        <v>1963</v>
      </c>
      <c r="C64" s="2">
        <v>3</v>
      </c>
      <c r="E64" s="2">
        <f>70+8+205</f>
        <v>283</v>
      </c>
      <c r="G64" s="2">
        <f>132+18+373</f>
        <v>523</v>
      </c>
      <c r="H64" s="2">
        <f>819+103+2654</f>
        <v>3576</v>
      </c>
      <c r="I64" s="2">
        <f>8+0+18</f>
        <v>26</v>
      </c>
      <c r="J64" s="2">
        <f>1+0+17</f>
        <v>18</v>
      </c>
      <c r="K64" s="16">
        <f t="shared" si="9"/>
        <v>0.5411089866156787</v>
      </c>
      <c r="L64" s="17">
        <f t="shared" si="10"/>
        <v>6.837476099426386</v>
      </c>
      <c r="M64" s="16">
        <f t="shared" si="11"/>
        <v>0.0497131931166348</v>
      </c>
      <c r="N64" s="16">
        <f t="shared" si="12"/>
        <v>0.03441682600382409</v>
      </c>
      <c r="O64" s="19">
        <f t="shared" si="13"/>
        <v>77.8959528362014</v>
      </c>
      <c r="Q64" s="20">
        <f t="shared" si="17"/>
        <v>1.2055449330783936</v>
      </c>
      <c r="R64" s="20">
        <f t="shared" si="15"/>
        <v>0.9593690248565965</v>
      </c>
      <c r="S64" s="20">
        <f t="shared" si="16"/>
        <v>0.994263862332696</v>
      </c>
      <c r="T64" s="20">
        <f t="shared" si="14"/>
        <v>1.5145793499043978</v>
      </c>
    </row>
    <row r="65" spans="1:20" ht="12.75">
      <c r="A65" s="14" t="s">
        <v>1042</v>
      </c>
      <c r="B65" s="15" t="s">
        <v>1043</v>
      </c>
      <c r="C65" s="2">
        <v>2</v>
      </c>
      <c r="E65" s="2">
        <f>6+114</f>
        <v>120</v>
      </c>
      <c r="G65" s="2">
        <f>8+180</f>
        <v>188</v>
      </c>
      <c r="H65" s="2">
        <f>54+1143</f>
        <v>1197</v>
      </c>
      <c r="I65" s="2">
        <f>0+2</f>
        <v>2</v>
      </c>
      <c r="J65" s="2">
        <f>0+4</f>
        <v>4</v>
      </c>
      <c r="K65" s="16">
        <f t="shared" si="9"/>
        <v>0.6382978723404256</v>
      </c>
      <c r="L65" s="17">
        <f t="shared" si="10"/>
        <v>6.367021276595745</v>
      </c>
      <c r="M65" s="16">
        <f t="shared" si="11"/>
        <v>0.010638297872340425</v>
      </c>
      <c r="N65" s="16">
        <f t="shared" si="12"/>
        <v>0.02127659574468085</v>
      </c>
      <c r="O65" s="19">
        <f t="shared" si="13"/>
        <v>76.48492907801419</v>
      </c>
      <c r="Q65" s="20">
        <f t="shared" si="17"/>
        <v>1.6914893617021278</v>
      </c>
      <c r="R65" s="20">
        <f t="shared" si="15"/>
        <v>0.8417553191489362</v>
      </c>
      <c r="S65" s="20">
        <f t="shared" si="16"/>
        <v>0.21276595744680848</v>
      </c>
      <c r="T65" s="20">
        <f t="shared" si="14"/>
        <v>1.8430851063829787</v>
      </c>
    </row>
    <row r="66" spans="1:20" ht="12.75">
      <c r="A66" s="14" t="s">
        <v>1976</v>
      </c>
      <c r="B66" s="15" t="s">
        <v>1977</v>
      </c>
      <c r="C66" s="2">
        <v>1</v>
      </c>
      <c r="E66" s="2">
        <v>74</v>
      </c>
      <c r="G66" s="2">
        <v>136</v>
      </c>
      <c r="H66" s="2">
        <v>834</v>
      </c>
      <c r="I66" s="2">
        <v>5</v>
      </c>
      <c r="J66" s="2">
        <v>3</v>
      </c>
      <c r="K66" s="16">
        <f t="shared" si="9"/>
        <v>0.5441176470588235</v>
      </c>
      <c r="L66" s="17">
        <f t="shared" si="10"/>
        <v>6.132352941176471</v>
      </c>
      <c r="M66" s="16">
        <f t="shared" si="11"/>
        <v>0.03676470588235294</v>
      </c>
      <c r="N66" s="16">
        <f t="shared" si="12"/>
        <v>0.022058823529411766</v>
      </c>
      <c r="O66" s="19">
        <f t="shared" si="13"/>
        <v>76.04166666666667</v>
      </c>
      <c r="Q66" s="20">
        <f t="shared" si="17"/>
        <v>1.2205882352941173</v>
      </c>
      <c r="R66" s="20">
        <f t="shared" si="15"/>
        <v>0.7830882352941178</v>
      </c>
      <c r="S66" s="20">
        <f t="shared" si="16"/>
        <v>0.7352941176470588</v>
      </c>
      <c r="T66" s="20">
        <f t="shared" si="14"/>
        <v>1.8235294117647058</v>
      </c>
    </row>
    <row r="67" spans="1:20" ht="12.75">
      <c r="A67" s="14" t="s">
        <v>1982</v>
      </c>
      <c r="B67" s="15" t="s">
        <v>1983</v>
      </c>
      <c r="C67" s="2">
        <v>1</v>
      </c>
      <c r="E67" s="2">
        <v>346</v>
      </c>
      <c r="G67" s="2">
        <v>566</v>
      </c>
      <c r="H67" s="2">
        <v>3490</v>
      </c>
      <c r="I67" s="2">
        <v>17</v>
      </c>
      <c r="J67" s="2">
        <v>18</v>
      </c>
      <c r="K67" s="16">
        <f t="shared" si="9"/>
        <v>0.6113074204946997</v>
      </c>
      <c r="L67" s="17">
        <f t="shared" si="10"/>
        <v>6.166077738515901</v>
      </c>
      <c r="M67" s="16">
        <f t="shared" si="11"/>
        <v>0.030035335689045935</v>
      </c>
      <c r="N67" s="16">
        <f t="shared" si="12"/>
        <v>0.03180212014134275</v>
      </c>
      <c r="O67" s="19">
        <f t="shared" si="13"/>
        <v>75.47850412249704</v>
      </c>
      <c r="Q67" s="20">
        <f t="shared" si="17"/>
        <v>1.5565371024734982</v>
      </c>
      <c r="R67" s="20">
        <f t="shared" si="15"/>
        <v>0.7915194346289753</v>
      </c>
      <c r="S67" s="20">
        <f t="shared" si="16"/>
        <v>0.6007067137809187</v>
      </c>
      <c r="T67" s="20">
        <f t="shared" si="14"/>
        <v>1.579946996466431</v>
      </c>
    </row>
    <row r="68" spans="1:20" ht="12.75">
      <c r="A68" s="14" t="s">
        <v>2000</v>
      </c>
      <c r="B68" s="15" t="s">
        <v>1550</v>
      </c>
      <c r="C68" s="2">
        <v>2</v>
      </c>
      <c r="E68" s="2">
        <f>6+284</f>
        <v>290</v>
      </c>
      <c r="G68" s="2">
        <f>11+539</f>
        <v>550</v>
      </c>
      <c r="H68" s="2">
        <f>108+3347</f>
        <v>3455</v>
      </c>
      <c r="I68" s="2">
        <f>1+21</f>
        <v>22</v>
      </c>
      <c r="J68" s="2">
        <f>0+15</f>
        <v>15</v>
      </c>
      <c r="K68" s="16">
        <f t="shared" si="9"/>
        <v>0.5272727272727272</v>
      </c>
      <c r="L68" s="17">
        <f t="shared" si="10"/>
        <v>6.281818181818182</v>
      </c>
      <c r="M68" s="16">
        <f t="shared" si="11"/>
        <v>0.04</v>
      </c>
      <c r="N68" s="16">
        <f t="shared" si="12"/>
        <v>0.02727272727272727</v>
      </c>
      <c r="O68" s="19">
        <f t="shared" si="13"/>
        <v>74.16666666666666</v>
      </c>
      <c r="Q68" s="20">
        <f t="shared" si="17"/>
        <v>1.136363636363636</v>
      </c>
      <c r="R68" s="20">
        <f t="shared" si="15"/>
        <v>0.8204545454545455</v>
      </c>
      <c r="S68" s="20">
        <f t="shared" si="16"/>
        <v>0.7999999999999999</v>
      </c>
      <c r="T68" s="20">
        <f t="shared" si="14"/>
        <v>1.6931818181818183</v>
      </c>
    </row>
    <row r="69" spans="1:20" ht="12.75">
      <c r="A69" s="14" t="s">
        <v>1059</v>
      </c>
      <c r="B69" s="15" t="s">
        <v>710</v>
      </c>
      <c r="C69" s="2">
        <v>4</v>
      </c>
      <c r="E69" s="2">
        <f>63+15+211+0</f>
        <v>289</v>
      </c>
      <c r="G69" s="2">
        <f>126+31+449+1</f>
        <v>607</v>
      </c>
      <c r="H69" s="2">
        <f>834+196+3459+0</f>
        <v>4489</v>
      </c>
      <c r="I69" s="2">
        <f>5+1+17+0</f>
        <v>23</v>
      </c>
      <c r="J69" s="2">
        <f>6+1+10+0</f>
        <v>17</v>
      </c>
      <c r="K69" s="16">
        <f t="shared" si="9"/>
        <v>0.47611202635914335</v>
      </c>
      <c r="L69" s="17">
        <f t="shared" si="10"/>
        <v>7.395387149917628</v>
      </c>
      <c r="M69" s="16">
        <f t="shared" si="11"/>
        <v>0.03789126853377265</v>
      </c>
      <c r="N69" s="16">
        <f t="shared" si="12"/>
        <v>0.02800658978583196</v>
      </c>
      <c r="O69" s="19">
        <f t="shared" si="13"/>
        <v>73.53445908841296</v>
      </c>
      <c r="Q69" s="20">
        <f t="shared" si="17"/>
        <v>0.8805601317957168</v>
      </c>
      <c r="R69" s="20">
        <f t="shared" si="15"/>
        <v>1.098846787479407</v>
      </c>
      <c r="S69" s="20">
        <f t="shared" si="16"/>
        <v>0.757825370675453</v>
      </c>
      <c r="T69" s="20">
        <f t="shared" si="14"/>
        <v>1.6748352553542012</v>
      </c>
    </row>
    <row r="70" spans="1:20" ht="12.75">
      <c r="A70" s="14" t="s">
        <v>544</v>
      </c>
      <c r="B70" s="15" t="s">
        <v>545</v>
      </c>
      <c r="C70" s="2">
        <v>1</v>
      </c>
      <c r="E70" s="2">
        <f>322</f>
        <v>322</v>
      </c>
      <c r="G70" s="2">
        <f>587</f>
        <v>587</v>
      </c>
      <c r="H70" s="2">
        <f>3679</f>
        <v>3679</v>
      </c>
      <c r="I70" s="2">
        <f>20</f>
        <v>20</v>
      </c>
      <c r="J70" s="2">
        <f>19</f>
        <v>19</v>
      </c>
      <c r="K70" s="16">
        <f t="shared" si="9"/>
        <v>0.5485519591141397</v>
      </c>
      <c r="L70" s="17">
        <f t="shared" si="10"/>
        <v>6.267461669505963</v>
      </c>
      <c r="M70" s="16">
        <f t="shared" si="11"/>
        <v>0.034071550255536626</v>
      </c>
      <c r="N70" s="16">
        <f t="shared" si="12"/>
        <v>0.03236797274275979</v>
      </c>
      <c r="O70" s="19">
        <f t="shared" si="13"/>
        <v>71.78094832481547</v>
      </c>
      <c r="Q70" s="20">
        <f t="shared" si="17"/>
        <v>1.2427597955706984</v>
      </c>
      <c r="R70" s="20">
        <f t="shared" si="15"/>
        <v>0.8168654173764907</v>
      </c>
      <c r="S70" s="20">
        <f t="shared" si="16"/>
        <v>0.6814310051107325</v>
      </c>
      <c r="T70" s="20">
        <f t="shared" si="14"/>
        <v>1.5658006814310053</v>
      </c>
    </row>
    <row r="71" spans="1:20" ht="12.75">
      <c r="A71" s="14" t="s">
        <v>1078</v>
      </c>
      <c r="B71" s="15" t="s">
        <v>382</v>
      </c>
      <c r="C71" s="2">
        <v>4</v>
      </c>
      <c r="E71" s="2">
        <f>1+56+220+125</f>
        <v>402</v>
      </c>
      <c r="G71" s="2">
        <f>9+107+395+277</f>
        <v>788</v>
      </c>
      <c r="H71" s="2">
        <f>10+607+2705+1626</f>
        <v>4948</v>
      </c>
      <c r="I71" s="2">
        <f>0+2+19+8</f>
        <v>29</v>
      </c>
      <c r="J71" s="2">
        <f>0+2+11+11</f>
        <v>24</v>
      </c>
      <c r="K71" s="16">
        <f t="shared" si="9"/>
        <v>0.5101522842639594</v>
      </c>
      <c r="L71" s="17">
        <f t="shared" si="10"/>
        <v>6.279187817258883</v>
      </c>
      <c r="M71" s="16">
        <f t="shared" si="11"/>
        <v>0.03680203045685279</v>
      </c>
      <c r="N71" s="16">
        <f t="shared" si="12"/>
        <v>0.030456852791878174</v>
      </c>
      <c r="O71" s="19">
        <f t="shared" si="13"/>
        <v>70.33629441624365</v>
      </c>
      <c r="Q71" s="20">
        <f t="shared" si="17"/>
        <v>1.050761421319797</v>
      </c>
      <c r="R71" s="20">
        <f t="shared" si="15"/>
        <v>0.8197969543147208</v>
      </c>
      <c r="S71" s="20">
        <f t="shared" si="16"/>
        <v>0.7360406091370558</v>
      </c>
      <c r="T71" s="20">
        <f t="shared" si="14"/>
        <v>1.6135786802030454</v>
      </c>
    </row>
    <row r="72" spans="1:20" ht="12.75">
      <c r="A72" s="14" t="s">
        <v>541</v>
      </c>
      <c r="B72" s="15" t="s">
        <v>1551</v>
      </c>
      <c r="C72" s="2">
        <v>2</v>
      </c>
      <c r="E72" s="2">
        <f>323+3</f>
        <v>326</v>
      </c>
      <c r="G72" s="2">
        <f>621+3</f>
        <v>624</v>
      </c>
      <c r="H72" s="2">
        <f>3990+39</f>
        <v>4029</v>
      </c>
      <c r="I72" s="2">
        <f>26+1</f>
        <v>27</v>
      </c>
      <c r="J72" s="2">
        <f>25+0</f>
        <v>25</v>
      </c>
      <c r="K72" s="16">
        <f t="shared" si="9"/>
        <v>0.5224358974358975</v>
      </c>
      <c r="L72" s="17">
        <f t="shared" si="10"/>
        <v>6.456730769230769</v>
      </c>
      <c r="M72" s="16">
        <f t="shared" si="11"/>
        <v>0.04326923076923077</v>
      </c>
      <c r="N72" s="16">
        <f t="shared" si="12"/>
        <v>0.04006410256410257</v>
      </c>
      <c r="O72" s="19">
        <f t="shared" si="13"/>
        <v>70.25240384615385</v>
      </c>
      <c r="Q72" s="20">
        <f t="shared" si="17"/>
        <v>1.1121794871794872</v>
      </c>
      <c r="R72" s="20">
        <f t="shared" si="15"/>
        <v>0.8641826923076923</v>
      </c>
      <c r="S72" s="20">
        <f t="shared" si="16"/>
        <v>0.8653846153846153</v>
      </c>
      <c r="T72" s="20">
        <f t="shared" si="14"/>
        <v>1.373397435897436</v>
      </c>
    </row>
    <row r="73" spans="1:20" ht="12.75">
      <c r="A73" s="14" t="s">
        <v>1048</v>
      </c>
      <c r="B73" s="15" t="s">
        <v>1701</v>
      </c>
      <c r="C73" s="2">
        <v>2</v>
      </c>
      <c r="E73" s="2">
        <f>318+10</f>
        <v>328</v>
      </c>
      <c r="G73" s="2">
        <f>577+29</f>
        <v>606</v>
      </c>
      <c r="H73" s="2">
        <f>3658+153</f>
        <v>3811</v>
      </c>
      <c r="I73" s="2">
        <f>23+1</f>
        <v>24</v>
      </c>
      <c r="J73" s="2">
        <f>22+2</f>
        <v>24</v>
      </c>
      <c r="K73" s="16">
        <f aca="true" t="shared" si="18" ref="K73:K104">E73/G73</f>
        <v>0.5412541254125413</v>
      </c>
      <c r="L73" s="17">
        <f aca="true" t="shared" si="19" ref="L73:L104">H73/G73</f>
        <v>6.288778877887789</v>
      </c>
      <c r="M73" s="16">
        <f aca="true" t="shared" si="20" ref="M73:M104">I73/G73</f>
        <v>0.039603960396039604</v>
      </c>
      <c r="N73" s="16">
        <f aca="true" t="shared" si="21" ref="N73:N104">J73/G73</f>
        <v>0.039603960396039604</v>
      </c>
      <c r="O73" s="19">
        <f aca="true" t="shared" si="22" ref="O73:O104">SUM(Q73:T73)*100/6</f>
        <v>70.09075907590758</v>
      </c>
      <c r="Q73" s="20">
        <f t="shared" si="17"/>
        <v>1.2062706270627062</v>
      </c>
      <c r="R73" s="20">
        <f t="shared" si="15"/>
        <v>0.8221947194719472</v>
      </c>
      <c r="S73" s="20">
        <f t="shared" si="16"/>
        <v>0.792079207920792</v>
      </c>
      <c r="T73" s="20">
        <f aca="true" t="shared" si="23" ref="T73:T78">IF(G73=0,0,(0.095-J73/G73)/0.04)</f>
        <v>1.38490099009901</v>
      </c>
    </row>
    <row r="74" spans="1:20" ht="12.75">
      <c r="A74" s="14" t="s">
        <v>1020</v>
      </c>
      <c r="B74" s="15" t="s">
        <v>392</v>
      </c>
      <c r="C74" s="2">
        <v>3</v>
      </c>
      <c r="E74" s="2">
        <f>105+174+118</f>
        <v>397</v>
      </c>
      <c r="G74" s="2">
        <f>170+372+224</f>
        <v>766</v>
      </c>
      <c r="H74" s="2">
        <f>1102+2343+1195</f>
        <v>4640</v>
      </c>
      <c r="I74" s="2">
        <f>9+7+9</f>
        <v>25</v>
      </c>
      <c r="J74" s="2">
        <f>4+11+7</f>
        <v>22</v>
      </c>
      <c r="K74" s="16">
        <f t="shared" si="18"/>
        <v>0.5182767624020888</v>
      </c>
      <c r="L74" s="17">
        <f t="shared" si="19"/>
        <v>6.057441253263708</v>
      </c>
      <c r="M74" s="16">
        <f t="shared" si="20"/>
        <v>0.03263707571801567</v>
      </c>
      <c r="N74" s="16">
        <f t="shared" si="21"/>
        <v>0.028720626631853787</v>
      </c>
      <c r="O74" s="19">
        <f t="shared" si="22"/>
        <v>69.42449956483898</v>
      </c>
      <c r="Q74" s="20">
        <f t="shared" si="17"/>
        <v>1.0913838120104438</v>
      </c>
      <c r="R74" s="20">
        <f t="shared" si="15"/>
        <v>0.7643603133159269</v>
      </c>
      <c r="S74" s="20">
        <f t="shared" si="16"/>
        <v>0.6527415143603134</v>
      </c>
      <c r="T74" s="20">
        <f t="shared" si="23"/>
        <v>1.6569843342036552</v>
      </c>
    </row>
    <row r="75" spans="1:20" ht="12.75">
      <c r="A75" s="14" t="s">
        <v>1035</v>
      </c>
      <c r="B75" s="15" t="s">
        <v>1709</v>
      </c>
      <c r="C75" s="2">
        <v>2</v>
      </c>
      <c r="E75" s="2">
        <f>325+42</f>
        <v>367</v>
      </c>
      <c r="G75" s="2">
        <f>584+106</f>
        <v>690</v>
      </c>
      <c r="H75" s="2">
        <f>3398+470</f>
        <v>3868</v>
      </c>
      <c r="I75" s="2">
        <f>23+1</f>
        <v>24</v>
      </c>
      <c r="J75" s="2">
        <f>9+11</f>
        <v>20</v>
      </c>
      <c r="K75" s="16">
        <f t="shared" si="18"/>
        <v>0.5318840579710145</v>
      </c>
      <c r="L75" s="17">
        <f t="shared" si="19"/>
        <v>5.605797101449276</v>
      </c>
      <c r="M75" s="16">
        <f t="shared" si="20"/>
        <v>0.034782608695652174</v>
      </c>
      <c r="N75" s="16">
        <f t="shared" si="21"/>
        <v>0.028985507246376812</v>
      </c>
      <c r="O75" s="19">
        <f t="shared" si="22"/>
        <v>69.28140096618357</v>
      </c>
      <c r="Q75" s="20">
        <f t="shared" si="17"/>
        <v>1.1594202898550723</v>
      </c>
      <c r="R75" s="20">
        <f t="shared" si="15"/>
        <v>0.6514492753623189</v>
      </c>
      <c r="S75" s="20">
        <f t="shared" si="16"/>
        <v>0.6956521739130435</v>
      </c>
      <c r="T75" s="20">
        <f t="shared" si="23"/>
        <v>1.6503623188405796</v>
      </c>
    </row>
    <row r="76" spans="1:20" ht="12.75">
      <c r="A76" s="14" t="s">
        <v>1802</v>
      </c>
      <c r="B76" s="15" t="s">
        <v>1975</v>
      </c>
      <c r="C76" s="2">
        <v>2</v>
      </c>
      <c r="E76" s="2">
        <f>21+323</f>
        <v>344</v>
      </c>
      <c r="G76" s="2">
        <f>49+588</f>
        <v>637</v>
      </c>
      <c r="H76" s="2">
        <f>246+3485</f>
        <v>3731</v>
      </c>
      <c r="I76" s="2">
        <f>0+19</f>
        <v>19</v>
      </c>
      <c r="J76" s="2">
        <f>4+16</f>
        <v>20</v>
      </c>
      <c r="K76" s="16">
        <f t="shared" si="18"/>
        <v>0.5400313971742543</v>
      </c>
      <c r="L76" s="17">
        <f t="shared" si="19"/>
        <v>5.857142857142857</v>
      </c>
      <c r="M76" s="16">
        <f t="shared" si="20"/>
        <v>0.029827315541601257</v>
      </c>
      <c r="N76" s="16">
        <f t="shared" si="21"/>
        <v>0.03139717425431711</v>
      </c>
      <c r="O76" s="19">
        <f t="shared" si="22"/>
        <v>68.35099424385139</v>
      </c>
      <c r="Q76" s="20">
        <f t="shared" si="17"/>
        <v>1.2001569858712715</v>
      </c>
      <c r="R76" s="20">
        <f t="shared" si="15"/>
        <v>0.7142857142857142</v>
      </c>
      <c r="S76" s="20">
        <f t="shared" si="16"/>
        <v>0.5965463108320251</v>
      </c>
      <c r="T76" s="20">
        <f t="shared" si="23"/>
        <v>1.5900706436420722</v>
      </c>
    </row>
    <row r="77" spans="1:20" ht="12.75">
      <c r="A77" s="14" t="s">
        <v>383</v>
      </c>
      <c r="B77" s="15" t="s">
        <v>1568</v>
      </c>
      <c r="C77" s="2">
        <v>2</v>
      </c>
      <c r="E77" s="2">
        <f>76+275</f>
        <v>351</v>
      </c>
      <c r="G77" s="2">
        <f>177+497</f>
        <v>674</v>
      </c>
      <c r="H77" s="2">
        <f>879+3104</f>
        <v>3983</v>
      </c>
      <c r="I77" s="2">
        <f>1+20</f>
        <v>21</v>
      </c>
      <c r="J77" s="2">
        <f>8+16</f>
        <v>24</v>
      </c>
      <c r="K77" s="16">
        <f t="shared" si="18"/>
        <v>0.5207715133531158</v>
      </c>
      <c r="L77" s="17">
        <f t="shared" si="19"/>
        <v>5.9094955489614245</v>
      </c>
      <c r="M77" s="16">
        <f t="shared" si="20"/>
        <v>0.03115727002967359</v>
      </c>
      <c r="N77" s="16">
        <f t="shared" si="21"/>
        <v>0.03560830860534125</v>
      </c>
      <c r="O77" s="19">
        <f t="shared" si="22"/>
        <v>65.65281899109793</v>
      </c>
      <c r="Q77" s="20">
        <f t="shared" si="17"/>
        <v>1.1038575667655788</v>
      </c>
      <c r="R77" s="20">
        <f t="shared" si="15"/>
        <v>0.7273738872403561</v>
      </c>
      <c r="S77" s="20">
        <f t="shared" si="16"/>
        <v>0.6231454005934718</v>
      </c>
      <c r="T77" s="20">
        <f t="shared" si="23"/>
        <v>1.4847922848664687</v>
      </c>
    </row>
    <row r="78" spans="1:20" ht="12.75">
      <c r="A78" s="14" t="s">
        <v>1090</v>
      </c>
      <c r="B78" s="15" t="s">
        <v>1091</v>
      </c>
      <c r="C78" s="2">
        <v>1</v>
      </c>
      <c r="E78" s="2">
        <v>9</v>
      </c>
      <c r="G78" s="2">
        <v>18</v>
      </c>
      <c r="H78" s="2">
        <v>94</v>
      </c>
      <c r="I78" s="2">
        <v>0</v>
      </c>
      <c r="J78" s="2">
        <v>0</v>
      </c>
      <c r="K78" s="16">
        <f t="shared" si="18"/>
        <v>0.5</v>
      </c>
      <c r="L78" s="17">
        <f t="shared" si="19"/>
        <v>5.222222222222222</v>
      </c>
      <c r="M78" s="16">
        <f t="shared" si="20"/>
        <v>0</v>
      </c>
      <c r="N78" s="16">
        <f t="shared" si="21"/>
        <v>0</v>
      </c>
      <c r="O78" s="19">
        <f t="shared" si="22"/>
        <v>65.50925925925925</v>
      </c>
      <c r="Q78" s="20">
        <f t="shared" si="17"/>
        <v>1</v>
      </c>
      <c r="R78" s="20">
        <f t="shared" si="15"/>
        <v>0.5555555555555556</v>
      </c>
      <c r="S78" s="20">
        <f t="shared" si="16"/>
        <v>0</v>
      </c>
      <c r="T78" s="20">
        <f t="shared" si="23"/>
        <v>2.375</v>
      </c>
    </row>
    <row r="79" spans="1:20" ht="12.75">
      <c r="A79" s="14" t="s">
        <v>1073</v>
      </c>
      <c r="B79" s="15" t="s">
        <v>1015</v>
      </c>
      <c r="C79" s="2">
        <v>1</v>
      </c>
      <c r="E79" s="2">
        <v>4</v>
      </c>
      <c r="G79" s="2">
        <v>5</v>
      </c>
      <c r="H79" s="2">
        <v>46</v>
      </c>
      <c r="I79" s="2">
        <v>0</v>
      </c>
      <c r="J79" s="2">
        <v>1</v>
      </c>
      <c r="K79" s="16">
        <f t="shared" si="18"/>
        <v>0.8</v>
      </c>
      <c r="L79" s="17">
        <f t="shared" si="19"/>
        <v>9.2</v>
      </c>
      <c r="M79" s="16">
        <f t="shared" si="20"/>
        <v>0</v>
      </c>
      <c r="N79" s="16">
        <f t="shared" si="21"/>
        <v>0.2</v>
      </c>
      <c r="O79" s="19">
        <f t="shared" si="22"/>
        <v>65.41666666666667</v>
      </c>
      <c r="Q79" s="38">
        <v>2.375</v>
      </c>
      <c r="R79" s="20">
        <f t="shared" si="15"/>
        <v>1.5499999999999998</v>
      </c>
      <c r="S79" s="20">
        <f t="shared" si="16"/>
        <v>0</v>
      </c>
      <c r="T79" s="38">
        <v>0</v>
      </c>
    </row>
    <row r="80" spans="1:20" ht="12.75">
      <c r="A80" s="14" t="s">
        <v>1742</v>
      </c>
      <c r="B80" s="15" t="s">
        <v>1962</v>
      </c>
      <c r="C80" s="2">
        <v>2</v>
      </c>
      <c r="E80" s="2">
        <f>19+9</f>
        <v>28</v>
      </c>
      <c r="G80" s="2">
        <f>37+15</f>
        <v>52</v>
      </c>
      <c r="H80" s="2">
        <f>180+65</f>
        <v>245</v>
      </c>
      <c r="I80" s="2">
        <f>1+0</f>
        <v>1</v>
      </c>
      <c r="J80" s="2">
        <f>1+0</f>
        <v>1</v>
      </c>
      <c r="K80" s="16">
        <f t="shared" si="18"/>
        <v>0.5384615384615384</v>
      </c>
      <c r="L80" s="17">
        <f t="shared" si="19"/>
        <v>4.711538461538462</v>
      </c>
      <c r="M80" s="16">
        <f t="shared" si="20"/>
        <v>0.019230769230769232</v>
      </c>
      <c r="N80" s="16">
        <f t="shared" si="21"/>
        <v>0.019230769230769232</v>
      </c>
      <c r="O80" s="19">
        <f t="shared" si="22"/>
        <v>64.98397435897435</v>
      </c>
      <c r="Q80" s="20">
        <f aca="true" t="shared" si="24" ref="Q80:Q93">IF(G80=0,0,((E80/G80)-0.3)/0.2)</f>
        <v>1.192307692307692</v>
      </c>
      <c r="R80" s="20">
        <f t="shared" si="15"/>
        <v>0.4278846153846154</v>
      </c>
      <c r="S80" s="20">
        <f t="shared" si="16"/>
        <v>0.38461538461538464</v>
      </c>
      <c r="T80" s="20">
        <f>IF(G80=0,0,(0.095-J80/G80)/0.04)</f>
        <v>1.8942307692307692</v>
      </c>
    </row>
    <row r="81" spans="1:20" ht="12.75">
      <c r="A81" s="14" t="s">
        <v>81</v>
      </c>
      <c r="B81" s="15" t="s">
        <v>82</v>
      </c>
      <c r="C81" s="2">
        <v>1</v>
      </c>
      <c r="E81" s="2">
        <f>246</f>
        <v>246</v>
      </c>
      <c r="G81" s="2">
        <f>475</f>
        <v>475</v>
      </c>
      <c r="H81" s="2">
        <f>3024</f>
        <v>3024</v>
      </c>
      <c r="I81" s="2">
        <f>10</f>
        <v>10</v>
      </c>
      <c r="J81" s="2">
        <f>17</f>
        <v>17</v>
      </c>
      <c r="K81" s="16">
        <f t="shared" si="18"/>
        <v>0.5178947368421053</v>
      </c>
      <c r="L81" s="17">
        <f t="shared" si="19"/>
        <v>6.366315789473684</v>
      </c>
      <c r="M81" s="16">
        <f t="shared" si="20"/>
        <v>0.021052631578947368</v>
      </c>
      <c r="N81" s="16">
        <f t="shared" si="21"/>
        <v>0.035789473684210524</v>
      </c>
      <c r="O81" s="19">
        <f t="shared" si="22"/>
        <v>63.87280701754386</v>
      </c>
      <c r="Q81" s="20">
        <f t="shared" si="24"/>
        <v>1.0894736842105264</v>
      </c>
      <c r="R81" s="20">
        <f t="shared" si="15"/>
        <v>0.841578947368421</v>
      </c>
      <c r="S81" s="20">
        <f aca="true" t="shared" si="25" ref="S81:S104">IF(G81=0,0,I81/G81/0.05)</f>
        <v>0.42105263157894735</v>
      </c>
      <c r="T81" s="20">
        <f>IF(G81=0,0,(0.095-J81/G81)/0.04)</f>
        <v>1.480263157894737</v>
      </c>
    </row>
    <row r="82" spans="1:20" ht="12.75">
      <c r="A82" s="14" t="s">
        <v>891</v>
      </c>
      <c r="B82" s="15" t="s">
        <v>892</v>
      </c>
      <c r="C82" s="2">
        <v>1</v>
      </c>
      <c r="E82" s="2">
        <f>219</f>
        <v>219</v>
      </c>
      <c r="G82" s="2">
        <f>419</f>
        <v>419</v>
      </c>
      <c r="H82" s="2">
        <f>2293</f>
        <v>2293</v>
      </c>
      <c r="I82" s="2">
        <f>11</f>
        <v>11</v>
      </c>
      <c r="J82" s="2">
        <f>14</f>
        <v>14</v>
      </c>
      <c r="K82" s="16">
        <f t="shared" si="18"/>
        <v>0.522673031026253</v>
      </c>
      <c r="L82" s="17">
        <f t="shared" si="19"/>
        <v>5.47255369928401</v>
      </c>
      <c r="M82" s="16">
        <f t="shared" si="20"/>
        <v>0.026252983293556086</v>
      </c>
      <c r="N82" s="16">
        <f t="shared" si="21"/>
        <v>0.03341288782816229</v>
      </c>
      <c r="O82" s="19">
        <f t="shared" si="22"/>
        <v>63.27068416865553</v>
      </c>
      <c r="Q82" s="20">
        <f t="shared" si="24"/>
        <v>1.1133651551312647</v>
      </c>
      <c r="R82" s="20">
        <f t="shared" si="15"/>
        <v>0.6181384248210025</v>
      </c>
      <c r="S82" s="20">
        <f t="shared" si="25"/>
        <v>0.5250596658711217</v>
      </c>
      <c r="T82" s="20">
        <f>IF(G82=0,0,(0.095-J82/G82)/0.04)</f>
        <v>1.5396778042959427</v>
      </c>
    </row>
    <row r="83" spans="1:20" ht="12.75">
      <c r="A83" s="14" t="s">
        <v>1985</v>
      </c>
      <c r="B83" s="15" t="s">
        <v>822</v>
      </c>
      <c r="C83" s="2">
        <v>3</v>
      </c>
      <c r="E83" s="2">
        <f>3+2+6</f>
        <v>11</v>
      </c>
      <c r="G83" s="2">
        <f>7+5+7</f>
        <v>19</v>
      </c>
      <c r="H83" s="2">
        <f>51+25+78</f>
        <v>154</v>
      </c>
      <c r="I83" s="2">
        <f>0+0+1</f>
        <v>1</v>
      </c>
      <c r="J83" s="2">
        <f>1+1+0</f>
        <v>2</v>
      </c>
      <c r="K83" s="16">
        <f t="shared" si="18"/>
        <v>0.5789473684210527</v>
      </c>
      <c r="L83" s="17">
        <f t="shared" si="19"/>
        <v>8.105263157894736</v>
      </c>
      <c r="M83" s="16">
        <f t="shared" si="20"/>
        <v>0.05263157894736842</v>
      </c>
      <c r="N83" s="16">
        <f t="shared" si="21"/>
        <v>0.10526315789473684</v>
      </c>
      <c r="O83" s="19">
        <f t="shared" si="22"/>
        <v>62.06140350877194</v>
      </c>
      <c r="Q83" s="20">
        <f t="shared" si="24"/>
        <v>1.3947368421052633</v>
      </c>
      <c r="R83" s="20">
        <f t="shared" si="15"/>
        <v>1.276315789473684</v>
      </c>
      <c r="S83" s="20">
        <f t="shared" si="25"/>
        <v>1.0526315789473684</v>
      </c>
      <c r="T83" s="38">
        <v>0</v>
      </c>
    </row>
    <row r="84" spans="1:20" ht="12.75">
      <c r="A84" s="14" t="s">
        <v>1965</v>
      </c>
      <c r="B84" s="15" t="s">
        <v>1569</v>
      </c>
      <c r="C84" s="2">
        <v>2</v>
      </c>
      <c r="E84" s="2">
        <f>50+3</f>
        <v>53</v>
      </c>
      <c r="G84" s="2">
        <f>93+9</f>
        <v>102</v>
      </c>
      <c r="H84" s="2">
        <f>591+38</f>
        <v>629</v>
      </c>
      <c r="I84" s="2">
        <f>2+1</f>
        <v>3</v>
      </c>
      <c r="J84" s="2">
        <f>5+0</f>
        <v>5</v>
      </c>
      <c r="K84" s="16">
        <f t="shared" si="18"/>
        <v>0.5196078431372549</v>
      </c>
      <c r="L84" s="17">
        <f t="shared" si="19"/>
        <v>6.166666666666667</v>
      </c>
      <c r="M84" s="16">
        <f t="shared" si="20"/>
        <v>0.029411764705882353</v>
      </c>
      <c r="N84" s="16">
        <f t="shared" si="21"/>
        <v>0.049019607843137254</v>
      </c>
      <c r="O84" s="19">
        <f t="shared" si="22"/>
        <v>60.45751633986928</v>
      </c>
      <c r="Q84" s="20">
        <f t="shared" si="24"/>
        <v>1.0980392156862746</v>
      </c>
      <c r="R84" s="20">
        <f t="shared" si="15"/>
        <v>0.7916666666666667</v>
      </c>
      <c r="S84" s="20">
        <f t="shared" si="25"/>
        <v>0.588235294117647</v>
      </c>
      <c r="T84" s="20">
        <f aca="true" t="shared" si="26" ref="T84:T90">IF(G84=0,0,(0.095-J84/G84)/0.04)</f>
        <v>1.1495098039215685</v>
      </c>
    </row>
    <row r="85" spans="1:20" ht="12.75">
      <c r="A85" s="14" t="s">
        <v>1987</v>
      </c>
      <c r="B85" s="15" t="s">
        <v>436</v>
      </c>
      <c r="C85" s="2">
        <v>2</v>
      </c>
      <c r="E85" s="2">
        <f>9+16</f>
        <v>25</v>
      </c>
      <c r="G85" s="2">
        <f>19+26</f>
        <v>45</v>
      </c>
      <c r="H85" s="2">
        <f>50+186</f>
        <v>236</v>
      </c>
      <c r="I85" s="2">
        <f>0+1</f>
        <v>1</v>
      </c>
      <c r="J85" s="2">
        <f>1+1</f>
        <v>2</v>
      </c>
      <c r="K85" s="16">
        <f t="shared" si="18"/>
        <v>0.5555555555555556</v>
      </c>
      <c r="L85" s="17">
        <f t="shared" si="19"/>
        <v>5.2444444444444445</v>
      </c>
      <c r="M85" s="16">
        <f t="shared" si="20"/>
        <v>0.022222222222222223</v>
      </c>
      <c r="N85" s="16">
        <f t="shared" si="21"/>
        <v>0.044444444444444446</v>
      </c>
      <c r="O85" s="19">
        <f t="shared" si="22"/>
        <v>59.120370370370374</v>
      </c>
      <c r="Q85" s="20">
        <f t="shared" si="24"/>
        <v>1.277777777777778</v>
      </c>
      <c r="R85" s="20">
        <f t="shared" si="15"/>
        <v>0.5611111111111111</v>
      </c>
      <c r="S85" s="20">
        <f t="shared" si="25"/>
        <v>0.4444444444444444</v>
      </c>
      <c r="T85" s="20">
        <f t="shared" si="26"/>
        <v>1.2638888888888888</v>
      </c>
    </row>
    <row r="86" spans="1:20" ht="12.75">
      <c r="A86" s="14" t="s">
        <v>1778</v>
      </c>
      <c r="B86" s="15" t="s">
        <v>1973</v>
      </c>
      <c r="C86" s="2">
        <v>2</v>
      </c>
      <c r="E86" s="2">
        <f>1+47</f>
        <v>48</v>
      </c>
      <c r="G86" s="2">
        <f>5+83</f>
        <v>88</v>
      </c>
      <c r="H86" s="2">
        <f>13+461</f>
        <v>474</v>
      </c>
      <c r="I86" s="2">
        <f>0+2</f>
        <v>2</v>
      </c>
      <c r="J86" s="2">
        <f>0+4</f>
        <v>4</v>
      </c>
      <c r="K86" s="16">
        <f t="shared" si="18"/>
        <v>0.5454545454545454</v>
      </c>
      <c r="L86" s="17">
        <f t="shared" si="19"/>
        <v>5.386363636363637</v>
      </c>
      <c r="M86" s="16">
        <f t="shared" si="20"/>
        <v>0.022727272727272728</v>
      </c>
      <c r="N86" s="16">
        <f t="shared" si="21"/>
        <v>0.045454545454545456</v>
      </c>
      <c r="O86" s="19">
        <f t="shared" si="22"/>
        <v>58.61742424242424</v>
      </c>
      <c r="Q86" s="20">
        <f t="shared" si="24"/>
        <v>1.227272727272727</v>
      </c>
      <c r="R86" s="20">
        <f t="shared" si="15"/>
        <v>0.5965909090909092</v>
      </c>
      <c r="S86" s="20">
        <f t="shared" si="25"/>
        <v>0.45454545454545453</v>
      </c>
      <c r="T86" s="20">
        <f t="shared" si="26"/>
        <v>1.2386363636363635</v>
      </c>
    </row>
    <row r="87" spans="1:20" ht="12.75">
      <c r="A87" s="14" t="s">
        <v>396</v>
      </c>
      <c r="B87" s="15" t="s">
        <v>738</v>
      </c>
      <c r="C87" s="2">
        <v>2</v>
      </c>
      <c r="E87" s="2">
        <f>296+16</f>
        <v>312</v>
      </c>
      <c r="G87" s="2">
        <f>616+37</f>
        <v>653</v>
      </c>
      <c r="H87" s="2">
        <f>3764+171</f>
        <v>3935</v>
      </c>
      <c r="I87" s="2">
        <f>12+1</f>
        <v>13</v>
      </c>
      <c r="J87" s="2">
        <f>28+2</f>
        <v>30</v>
      </c>
      <c r="K87" s="16">
        <f t="shared" si="18"/>
        <v>0.4777947932618683</v>
      </c>
      <c r="L87" s="17">
        <f t="shared" si="19"/>
        <v>6.026033690658499</v>
      </c>
      <c r="M87" s="16">
        <f t="shared" si="20"/>
        <v>0.019908116385911178</v>
      </c>
      <c r="N87" s="16">
        <f t="shared" si="21"/>
        <v>0.045941807044410414</v>
      </c>
      <c r="O87" s="19">
        <f t="shared" si="22"/>
        <v>54.50165900969882</v>
      </c>
      <c r="Q87" s="45">
        <f t="shared" si="24"/>
        <v>0.8889739663093416</v>
      </c>
      <c r="R87" s="20">
        <f t="shared" si="15"/>
        <v>0.7565084226646248</v>
      </c>
      <c r="S87" s="20">
        <f t="shared" si="25"/>
        <v>0.3981623277182235</v>
      </c>
      <c r="T87" s="20">
        <f t="shared" si="26"/>
        <v>1.2264548238897397</v>
      </c>
    </row>
    <row r="88" spans="1:20" ht="12.75">
      <c r="A88" s="14" t="s">
        <v>1969</v>
      </c>
      <c r="B88" s="15" t="s">
        <v>51</v>
      </c>
      <c r="C88" s="2">
        <v>2</v>
      </c>
      <c r="E88" s="2">
        <f>37+6</f>
        <v>43</v>
      </c>
      <c r="G88" s="2">
        <f>87+13</f>
        <v>100</v>
      </c>
      <c r="H88" s="2">
        <f>455+47</f>
        <v>502</v>
      </c>
      <c r="I88" s="2">
        <f>4+0</f>
        <v>4</v>
      </c>
      <c r="J88" s="2">
        <f>4+1</f>
        <v>5</v>
      </c>
      <c r="K88" s="16">
        <f t="shared" si="18"/>
        <v>0.43</v>
      </c>
      <c r="L88" s="17">
        <f t="shared" si="19"/>
        <v>5.02</v>
      </c>
      <c r="M88" s="16">
        <f t="shared" si="20"/>
        <v>0.04</v>
      </c>
      <c r="N88" s="16">
        <f t="shared" si="21"/>
        <v>0.05</v>
      </c>
      <c r="O88" s="19">
        <f t="shared" si="22"/>
        <v>51.33333333333332</v>
      </c>
      <c r="Q88" s="20">
        <f t="shared" si="24"/>
        <v>0.65</v>
      </c>
      <c r="R88" s="20">
        <f t="shared" si="15"/>
        <v>0.5049999999999999</v>
      </c>
      <c r="S88" s="20">
        <f t="shared" si="25"/>
        <v>0.7999999999999999</v>
      </c>
      <c r="T88" s="20">
        <f t="shared" si="26"/>
        <v>1.125</v>
      </c>
    </row>
    <row r="89" spans="1:20" ht="12.75">
      <c r="A89" s="14" t="s">
        <v>746</v>
      </c>
      <c r="B89" s="15" t="s">
        <v>893</v>
      </c>
      <c r="C89" s="2">
        <v>2</v>
      </c>
      <c r="E89" s="2">
        <f>1+13</f>
        <v>14</v>
      </c>
      <c r="G89" s="2">
        <f>3+29</f>
        <v>32</v>
      </c>
      <c r="H89" s="2">
        <f>-2+125</f>
        <v>123</v>
      </c>
      <c r="I89" s="2">
        <f>0+0</f>
        <v>0</v>
      </c>
      <c r="J89" s="2">
        <f>0+0</f>
        <v>0</v>
      </c>
      <c r="K89" s="16">
        <f t="shared" si="18"/>
        <v>0.4375</v>
      </c>
      <c r="L89" s="17">
        <f t="shared" si="19"/>
        <v>3.84375</v>
      </c>
      <c r="M89" s="16">
        <f t="shared" si="20"/>
        <v>0</v>
      </c>
      <c r="N89" s="16">
        <f t="shared" si="21"/>
        <v>0</v>
      </c>
      <c r="O89" s="19">
        <f t="shared" si="22"/>
        <v>51.041666666666664</v>
      </c>
      <c r="Q89" s="20">
        <f t="shared" si="24"/>
        <v>0.6875</v>
      </c>
      <c r="R89" s="38">
        <v>0</v>
      </c>
      <c r="S89" s="20">
        <f t="shared" si="25"/>
        <v>0</v>
      </c>
      <c r="T89" s="20">
        <f t="shared" si="26"/>
        <v>2.375</v>
      </c>
    </row>
    <row r="90" spans="1:20" ht="12.75">
      <c r="A90" s="14" t="s">
        <v>1065</v>
      </c>
      <c r="B90" s="15" t="s">
        <v>1772</v>
      </c>
      <c r="C90" s="2">
        <v>2</v>
      </c>
      <c r="E90" s="2">
        <f>202+2</f>
        <v>204</v>
      </c>
      <c r="G90" s="2">
        <f>354+5</f>
        <v>359</v>
      </c>
      <c r="H90" s="2">
        <f>1849+10</f>
        <v>1859</v>
      </c>
      <c r="I90" s="2">
        <f>3+0</f>
        <v>3</v>
      </c>
      <c r="J90" s="2">
        <f>19+1</f>
        <v>20</v>
      </c>
      <c r="K90" s="16">
        <f t="shared" si="18"/>
        <v>0.5682451253481894</v>
      </c>
      <c r="L90" s="17">
        <f t="shared" si="19"/>
        <v>5.178272980501393</v>
      </c>
      <c r="M90" s="16">
        <f t="shared" si="20"/>
        <v>0.008356545961002786</v>
      </c>
      <c r="N90" s="16">
        <f t="shared" si="21"/>
        <v>0.055710306406685235</v>
      </c>
      <c r="O90" s="19">
        <f t="shared" si="22"/>
        <v>50.58611884865366</v>
      </c>
      <c r="Q90" s="20">
        <f t="shared" si="24"/>
        <v>1.3412256267409468</v>
      </c>
      <c r="R90" s="20">
        <f>IF(G90=0,0,((H90/G90)-3)/4)</f>
        <v>0.5445682451253482</v>
      </c>
      <c r="S90" s="20">
        <f t="shared" si="25"/>
        <v>0.1671309192200557</v>
      </c>
      <c r="T90" s="20">
        <f t="shared" si="26"/>
        <v>0.9822423398328691</v>
      </c>
    </row>
    <row r="91" spans="1:20" ht="12.75">
      <c r="A91" s="14" t="s">
        <v>1076</v>
      </c>
      <c r="B91" s="15" t="s">
        <v>1077</v>
      </c>
      <c r="C91" s="2">
        <v>1</v>
      </c>
      <c r="E91" s="2">
        <v>6</v>
      </c>
      <c r="G91" s="2">
        <v>13</v>
      </c>
      <c r="H91" s="2">
        <v>71</v>
      </c>
      <c r="I91" s="2">
        <v>1</v>
      </c>
      <c r="J91" s="2">
        <v>2</v>
      </c>
      <c r="K91" s="16">
        <f t="shared" si="18"/>
        <v>0.46153846153846156</v>
      </c>
      <c r="L91" s="17">
        <f t="shared" si="19"/>
        <v>5.461538461538462</v>
      </c>
      <c r="M91" s="16">
        <f t="shared" si="20"/>
        <v>0.07692307692307693</v>
      </c>
      <c r="N91" s="16">
        <f t="shared" si="21"/>
        <v>0.15384615384615385</v>
      </c>
      <c r="O91" s="19">
        <f t="shared" si="22"/>
        <v>49.358974358974365</v>
      </c>
      <c r="Q91" s="20">
        <f t="shared" si="24"/>
        <v>0.8076923076923078</v>
      </c>
      <c r="R91" s="20">
        <f>IF(G91=0,0,((H91/G91)-3)/4)</f>
        <v>0.6153846153846154</v>
      </c>
      <c r="S91" s="20">
        <f t="shared" si="25"/>
        <v>1.5384615384615385</v>
      </c>
      <c r="T91" s="38">
        <v>0</v>
      </c>
    </row>
    <row r="92" spans="1:20" ht="12.75">
      <c r="A92" s="14" t="s">
        <v>973</v>
      </c>
      <c r="B92" s="15" t="s">
        <v>66</v>
      </c>
      <c r="C92" s="2">
        <v>2</v>
      </c>
      <c r="E92" s="2">
        <f>143+9</f>
        <v>152</v>
      </c>
      <c r="G92" s="2">
        <f>259+12</f>
        <v>271</v>
      </c>
      <c r="H92" s="2">
        <f>1648+81</f>
        <v>1729</v>
      </c>
      <c r="I92" s="2">
        <f>7+1</f>
        <v>8</v>
      </c>
      <c r="J92" s="2">
        <f>23+1</f>
        <v>24</v>
      </c>
      <c r="K92" s="16">
        <f t="shared" si="18"/>
        <v>0.5608856088560885</v>
      </c>
      <c r="L92" s="17">
        <f t="shared" si="19"/>
        <v>6.380073800738008</v>
      </c>
      <c r="M92" s="16">
        <f t="shared" si="20"/>
        <v>0.02952029520295203</v>
      </c>
      <c r="N92" s="16">
        <f t="shared" si="21"/>
        <v>0.08856088560885608</v>
      </c>
      <c r="O92" s="19">
        <f t="shared" si="22"/>
        <v>48.34717097170972</v>
      </c>
      <c r="Q92" s="20">
        <f t="shared" si="24"/>
        <v>1.3044280442804426</v>
      </c>
      <c r="R92" s="20">
        <f>IF(G92=0,0,((H92/G92)-3)/4)</f>
        <v>0.845018450184502</v>
      </c>
      <c r="S92" s="20">
        <f t="shared" si="25"/>
        <v>0.5904059040590406</v>
      </c>
      <c r="T92" s="20">
        <f>IF(G92=0,0,(0.095-J92/G92)/0.04)</f>
        <v>0.16097785977859796</v>
      </c>
    </row>
    <row r="93" spans="1:20" ht="12.75">
      <c r="A93" s="14" t="s">
        <v>1979</v>
      </c>
      <c r="B93" s="15" t="s">
        <v>1980</v>
      </c>
      <c r="C93" s="2">
        <v>1</v>
      </c>
      <c r="E93" s="2">
        <v>18</v>
      </c>
      <c r="G93" s="2">
        <v>33</v>
      </c>
      <c r="H93" s="2">
        <v>173</v>
      </c>
      <c r="I93" s="2">
        <v>0</v>
      </c>
      <c r="J93" s="2">
        <v>2</v>
      </c>
      <c r="K93" s="16">
        <f t="shared" si="18"/>
        <v>0.5454545454545454</v>
      </c>
      <c r="L93" s="17">
        <f t="shared" si="19"/>
        <v>5.242424242424242</v>
      </c>
      <c r="M93" s="16">
        <f t="shared" si="20"/>
        <v>0</v>
      </c>
      <c r="N93" s="16">
        <f t="shared" si="21"/>
        <v>0.06060606060606061</v>
      </c>
      <c r="O93" s="19">
        <f t="shared" si="22"/>
        <v>44.128787878787875</v>
      </c>
      <c r="Q93" s="20">
        <f t="shared" si="24"/>
        <v>1.227272727272727</v>
      </c>
      <c r="R93" s="20">
        <f>IF(G93=0,0,((H93/G93)-3)/4)</f>
        <v>0.5606060606060606</v>
      </c>
      <c r="S93" s="20">
        <f t="shared" si="25"/>
        <v>0</v>
      </c>
      <c r="T93" s="20">
        <f>IF(G93=0,0,(0.095-J93/G93)/0.04)</f>
        <v>0.8598484848484849</v>
      </c>
    </row>
    <row r="94" spans="1:20" ht="12.75">
      <c r="A94" s="14" t="s">
        <v>1201</v>
      </c>
      <c r="B94" s="15" t="s">
        <v>691</v>
      </c>
      <c r="C94" s="2">
        <v>7</v>
      </c>
      <c r="E94" s="2">
        <f>1+3+2+0+0+0+0</f>
        <v>6</v>
      </c>
      <c r="G94" s="2">
        <f>1+10+7+3+3+1+1</f>
        <v>26</v>
      </c>
      <c r="H94" s="2">
        <f>16+90+59+0+0+0</f>
        <v>165</v>
      </c>
      <c r="I94" s="2">
        <f>0+0+2+0+0+0+0</f>
        <v>2</v>
      </c>
      <c r="J94" s="2">
        <f>0+0+1+0+2+0+1</f>
        <v>4</v>
      </c>
      <c r="K94" s="16">
        <f t="shared" si="18"/>
        <v>0.23076923076923078</v>
      </c>
      <c r="L94" s="17">
        <f t="shared" si="19"/>
        <v>6.346153846153846</v>
      </c>
      <c r="M94" s="16">
        <f t="shared" si="20"/>
        <v>0.07692307692307693</v>
      </c>
      <c r="N94" s="16">
        <f t="shared" si="21"/>
        <v>0.15384615384615385</v>
      </c>
      <c r="O94" s="19">
        <f t="shared" si="22"/>
        <v>39.583333333333336</v>
      </c>
      <c r="Q94" s="38">
        <v>0</v>
      </c>
      <c r="R94" s="20">
        <f>IF(G94=0,0,((H94/G94)-3)/4)</f>
        <v>0.8365384615384615</v>
      </c>
      <c r="S94" s="20">
        <f t="shared" si="25"/>
        <v>1.5384615384615385</v>
      </c>
      <c r="T94" s="38">
        <v>0</v>
      </c>
    </row>
    <row r="95" spans="1:20" ht="12.75">
      <c r="A95" s="14" t="s">
        <v>1080</v>
      </c>
      <c r="B95" s="15" t="s">
        <v>1047</v>
      </c>
      <c r="C95" s="2">
        <v>1</v>
      </c>
      <c r="E95" s="2">
        <v>0</v>
      </c>
      <c r="G95" s="2">
        <v>1</v>
      </c>
      <c r="H95" s="2">
        <v>0</v>
      </c>
      <c r="I95" s="2">
        <v>0</v>
      </c>
      <c r="J95" s="2">
        <v>0</v>
      </c>
      <c r="K95" s="16">
        <f t="shared" si="18"/>
        <v>0</v>
      </c>
      <c r="L95" s="17">
        <f t="shared" si="19"/>
        <v>0</v>
      </c>
      <c r="M95" s="16">
        <f t="shared" si="20"/>
        <v>0</v>
      </c>
      <c r="N95" s="16">
        <f t="shared" si="21"/>
        <v>0</v>
      </c>
      <c r="O95" s="19">
        <f t="shared" si="22"/>
        <v>39.583333333333336</v>
      </c>
      <c r="Q95" s="38">
        <v>0</v>
      </c>
      <c r="R95" s="38">
        <v>0</v>
      </c>
      <c r="S95" s="20">
        <f t="shared" si="25"/>
        <v>0</v>
      </c>
      <c r="T95" s="20">
        <f>IF(G95=0,0,(0.095-J95/G95)/0.04)</f>
        <v>2.375</v>
      </c>
    </row>
    <row r="96" spans="1:20" ht="12.75">
      <c r="A96" s="14" t="s">
        <v>1084</v>
      </c>
      <c r="B96" s="15" t="s">
        <v>1085</v>
      </c>
      <c r="C96" s="2">
        <v>1</v>
      </c>
      <c r="E96" s="2">
        <v>9</v>
      </c>
      <c r="G96" s="2">
        <v>20</v>
      </c>
      <c r="H96" s="2">
        <v>86</v>
      </c>
      <c r="I96" s="2">
        <v>0</v>
      </c>
      <c r="J96" s="2">
        <v>1</v>
      </c>
      <c r="K96" s="16">
        <f t="shared" si="18"/>
        <v>0.45</v>
      </c>
      <c r="L96" s="17">
        <f t="shared" si="19"/>
        <v>4.3</v>
      </c>
      <c r="M96" s="16">
        <f t="shared" si="20"/>
        <v>0</v>
      </c>
      <c r="N96" s="16">
        <f t="shared" si="21"/>
        <v>0.05</v>
      </c>
      <c r="O96" s="19">
        <f t="shared" si="22"/>
        <v>36.66666666666667</v>
      </c>
      <c r="Q96" s="20">
        <f>IF(G96=0,0,((E96/G96)-0.3)/0.2)</f>
        <v>0.7500000000000001</v>
      </c>
      <c r="R96" s="20">
        <f aca="true" t="shared" si="27" ref="R96:R101">IF(G96=0,0,((H96/G96)-3)/4)</f>
        <v>0.32499999999999996</v>
      </c>
      <c r="S96" s="20">
        <f t="shared" si="25"/>
        <v>0</v>
      </c>
      <c r="T96" s="20">
        <f>IF(G96=0,0,(0.095-J96/G96)/0.04)</f>
        <v>1.125</v>
      </c>
    </row>
    <row r="97" spans="1:20" ht="12.75">
      <c r="A97" s="14" t="s">
        <v>1957</v>
      </c>
      <c r="B97" s="15" t="s">
        <v>1958</v>
      </c>
      <c r="C97" s="2">
        <v>1</v>
      </c>
      <c r="E97" s="2">
        <v>5</v>
      </c>
      <c r="G97" s="2">
        <v>8</v>
      </c>
      <c r="H97" s="2">
        <v>41</v>
      </c>
      <c r="I97" s="2">
        <v>0</v>
      </c>
      <c r="J97" s="2">
        <v>2</v>
      </c>
      <c r="K97" s="16">
        <f t="shared" si="18"/>
        <v>0.625</v>
      </c>
      <c r="L97" s="17">
        <f t="shared" si="19"/>
        <v>5.125</v>
      </c>
      <c r="M97" s="16">
        <f t="shared" si="20"/>
        <v>0</v>
      </c>
      <c r="N97" s="16">
        <f t="shared" si="21"/>
        <v>0.25</v>
      </c>
      <c r="O97" s="19">
        <f t="shared" si="22"/>
        <v>35.9375</v>
      </c>
      <c r="Q97" s="20">
        <f>IF(G97=0,0,((E97/G97)-0.3)/0.2)</f>
        <v>1.625</v>
      </c>
      <c r="R97" s="20">
        <f t="shared" si="27"/>
        <v>0.53125</v>
      </c>
      <c r="S97" s="20">
        <f t="shared" si="25"/>
        <v>0</v>
      </c>
      <c r="T97" s="38">
        <v>0</v>
      </c>
    </row>
    <row r="98" spans="1:20" ht="12.75">
      <c r="A98" s="14" t="s">
        <v>421</v>
      </c>
      <c r="B98" s="15" t="s">
        <v>279</v>
      </c>
      <c r="C98" s="2">
        <v>3</v>
      </c>
      <c r="E98" s="2">
        <f>36+9+8</f>
        <v>53</v>
      </c>
      <c r="G98" s="2">
        <f>87+13+14</f>
        <v>114</v>
      </c>
      <c r="H98" s="2">
        <f>473+94+47</f>
        <v>614</v>
      </c>
      <c r="I98" s="2">
        <f>2+1+0</f>
        <v>3</v>
      </c>
      <c r="J98" s="2">
        <f>10+0+0</f>
        <v>10</v>
      </c>
      <c r="K98" s="16">
        <f t="shared" si="18"/>
        <v>0.4649122807017544</v>
      </c>
      <c r="L98" s="17">
        <f t="shared" si="19"/>
        <v>5.385964912280702</v>
      </c>
      <c r="M98" s="16">
        <f t="shared" si="20"/>
        <v>0.02631578947368421</v>
      </c>
      <c r="N98" s="16">
        <f t="shared" si="21"/>
        <v>0.08771929824561403</v>
      </c>
      <c r="O98" s="19">
        <f t="shared" si="22"/>
        <v>32.45614035087719</v>
      </c>
      <c r="Q98" s="45">
        <f>IF(G98=0,0,((E98/G98)-0.3)/0.2)</f>
        <v>0.8245614035087719</v>
      </c>
      <c r="R98" s="20">
        <f t="shared" si="27"/>
        <v>0.5964912280701755</v>
      </c>
      <c r="S98" s="20">
        <f t="shared" si="25"/>
        <v>0.5263157894736842</v>
      </c>
      <c r="T98" s="38">
        <v>0</v>
      </c>
    </row>
    <row r="99" spans="1:20" ht="12.75">
      <c r="A99" s="14" t="s">
        <v>341</v>
      </c>
      <c r="B99" s="15" t="s">
        <v>563</v>
      </c>
      <c r="C99" s="2">
        <v>2</v>
      </c>
      <c r="E99" s="2">
        <f>10+13</f>
        <v>23</v>
      </c>
      <c r="G99" s="2">
        <f>23+30</f>
        <v>53</v>
      </c>
      <c r="H99" s="2">
        <f>179+152</f>
        <v>331</v>
      </c>
      <c r="I99" s="2">
        <f>1+0</f>
        <v>1</v>
      </c>
      <c r="J99" s="2">
        <f>0+5</f>
        <v>5</v>
      </c>
      <c r="K99" s="16">
        <f t="shared" si="18"/>
        <v>0.4339622641509434</v>
      </c>
      <c r="L99" s="17">
        <f t="shared" si="19"/>
        <v>6.245283018867925</v>
      </c>
      <c r="M99" s="16">
        <f t="shared" si="20"/>
        <v>0.018867924528301886</v>
      </c>
      <c r="N99" s="16">
        <f t="shared" si="21"/>
        <v>0.09433962264150944</v>
      </c>
      <c r="O99" s="19">
        <f t="shared" si="22"/>
        <v>31.25</v>
      </c>
      <c r="Q99" s="20">
        <f>IF(G99=0,0,((E99/G99)-0.3)/0.2)</f>
        <v>0.669811320754717</v>
      </c>
      <c r="R99" s="20">
        <f t="shared" si="27"/>
        <v>0.8113207547169812</v>
      </c>
      <c r="S99" s="20">
        <f t="shared" si="25"/>
        <v>0.3773584905660377</v>
      </c>
      <c r="T99" s="20">
        <f>IF(G99=0,0,(0.095-J99/G99)/0.04)</f>
        <v>0.01650943396226401</v>
      </c>
    </row>
    <row r="100" spans="1:20" ht="12.75">
      <c r="A100" s="14" t="s">
        <v>1959</v>
      </c>
      <c r="B100" s="15" t="s">
        <v>1960</v>
      </c>
      <c r="C100" s="2">
        <v>1</v>
      </c>
      <c r="E100" s="2">
        <v>12</v>
      </c>
      <c r="G100" s="2">
        <v>23</v>
      </c>
      <c r="H100" s="2">
        <v>119</v>
      </c>
      <c r="I100" s="2">
        <v>0</v>
      </c>
      <c r="J100" s="2">
        <v>2</v>
      </c>
      <c r="K100" s="16">
        <f t="shared" si="18"/>
        <v>0.5217391304347826</v>
      </c>
      <c r="L100" s="17">
        <f t="shared" si="19"/>
        <v>5.173913043478261</v>
      </c>
      <c r="M100" s="16">
        <f t="shared" si="20"/>
        <v>0</v>
      </c>
      <c r="N100" s="16">
        <f t="shared" si="21"/>
        <v>0.08695652173913043</v>
      </c>
      <c r="O100" s="19">
        <f t="shared" si="22"/>
        <v>30.887681159420286</v>
      </c>
      <c r="Q100" s="20">
        <f>IF(G100=0,0,((E100/G100)-0.3)/0.2)</f>
        <v>1.1086956521739129</v>
      </c>
      <c r="R100" s="20">
        <f t="shared" si="27"/>
        <v>0.5434782608695652</v>
      </c>
      <c r="S100" s="20">
        <f t="shared" si="25"/>
        <v>0</v>
      </c>
      <c r="T100" s="20">
        <f>IF(G100=0,0,(0.095-J100/G100)/0.04)</f>
        <v>0.20108695652173922</v>
      </c>
    </row>
    <row r="101" spans="1:20" ht="12.75">
      <c r="A101" s="14" t="s">
        <v>1081</v>
      </c>
      <c r="B101" s="15" t="s">
        <v>1994</v>
      </c>
      <c r="C101" s="2">
        <v>3</v>
      </c>
      <c r="E101" s="2">
        <f>0+0+9</f>
        <v>9</v>
      </c>
      <c r="G101" s="2">
        <f>1+2+28</f>
        <v>31</v>
      </c>
      <c r="H101" s="2">
        <f>0+0+159</f>
        <v>159</v>
      </c>
      <c r="I101" s="2">
        <f>0+0+1</f>
        <v>1</v>
      </c>
      <c r="J101" s="2">
        <f>0+0+3</f>
        <v>3</v>
      </c>
      <c r="K101" s="16">
        <f t="shared" si="18"/>
        <v>0.2903225806451613</v>
      </c>
      <c r="L101" s="17">
        <f t="shared" si="19"/>
        <v>5.129032258064516</v>
      </c>
      <c r="M101" s="16">
        <f t="shared" si="20"/>
        <v>0.03225806451612903</v>
      </c>
      <c r="N101" s="16">
        <f t="shared" si="21"/>
        <v>0.0967741935483871</v>
      </c>
      <c r="O101" s="19">
        <f t="shared" si="22"/>
        <v>19.623655913978492</v>
      </c>
      <c r="Q101" s="38">
        <v>0</v>
      </c>
      <c r="R101" s="20">
        <f t="shared" si="27"/>
        <v>0.532258064516129</v>
      </c>
      <c r="S101" s="20">
        <f t="shared" si="25"/>
        <v>0.6451612903225806</v>
      </c>
      <c r="T101" s="38">
        <v>0</v>
      </c>
    </row>
    <row r="102" spans="1:20" ht="12.75">
      <c r="A102" s="14" t="s">
        <v>277</v>
      </c>
      <c r="B102" s="15" t="s">
        <v>278</v>
      </c>
      <c r="C102" s="2">
        <v>1</v>
      </c>
      <c r="E102" s="2">
        <f>4</f>
        <v>4</v>
      </c>
      <c r="G102" s="2">
        <f>16</f>
        <v>16</v>
      </c>
      <c r="H102" s="2">
        <f>45</f>
        <v>45</v>
      </c>
      <c r="I102" s="2">
        <f>0</f>
        <v>0</v>
      </c>
      <c r="J102" s="2">
        <f>1</f>
        <v>1</v>
      </c>
      <c r="K102" s="16">
        <f t="shared" si="18"/>
        <v>0.25</v>
      </c>
      <c r="L102" s="17">
        <f t="shared" si="19"/>
        <v>2.8125</v>
      </c>
      <c r="M102" s="16">
        <f t="shared" si="20"/>
        <v>0</v>
      </c>
      <c r="N102" s="16">
        <f t="shared" si="21"/>
        <v>0.0625</v>
      </c>
      <c r="O102" s="19">
        <f t="shared" si="22"/>
        <v>13.541666666666666</v>
      </c>
      <c r="Q102" s="38">
        <v>0</v>
      </c>
      <c r="R102" s="38">
        <v>0</v>
      </c>
      <c r="S102" s="20">
        <f t="shared" si="25"/>
        <v>0</v>
      </c>
      <c r="T102" s="20">
        <f>IF(G102=0,0,(0.095-J102/G102)/0.04)</f>
        <v>0.8125</v>
      </c>
    </row>
    <row r="103" spans="1:20" ht="12.75">
      <c r="A103" s="14" t="s">
        <v>1908</v>
      </c>
      <c r="B103" s="15" t="s">
        <v>1909</v>
      </c>
      <c r="C103" s="2">
        <v>1</v>
      </c>
      <c r="E103" s="2">
        <v>4</v>
      </c>
      <c r="G103" s="2">
        <v>14</v>
      </c>
      <c r="H103" s="2">
        <v>62</v>
      </c>
      <c r="I103" s="2">
        <v>0</v>
      </c>
      <c r="J103" s="2">
        <v>2</v>
      </c>
      <c r="K103" s="16">
        <f t="shared" si="18"/>
        <v>0.2857142857142857</v>
      </c>
      <c r="L103" s="17">
        <f t="shared" si="19"/>
        <v>4.428571428571429</v>
      </c>
      <c r="M103" s="16">
        <f t="shared" si="20"/>
        <v>0</v>
      </c>
      <c r="N103" s="16">
        <f t="shared" si="21"/>
        <v>0.14285714285714285</v>
      </c>
      <c r="O103" s="19">
        <f t="shared" si="22"/>
        <v>5.952380952380953</v>
      </c>
      <c r="Q103" s="38">
        <v>0</v>
      </c>
      <c r="R103" s="20">
        <f>IF(G103=0,0,((H103/G103)-3)/4)</f>
        <v>0.3571428571428572</v>
      </c>
      <c r="S103" s="20">
        <f t="shared" si="25"/>
        <v>0</v>
      </c>
      <c r="T103" s="38">
        <v>0</v>
      </c>
    </row>
    <row r="104" spans="1:20" ht="12.75">
      <c r="A104" s="14" t="s">
        <v>1910</v>
      </c>
      <c r="B104" s="15" t="s">
        <v>1909</v>
      </c>
      <c r="C104" s="2">
        <v>1</v>
      </c>
      <c r="E104" s="2">
        <v>2</v>
      </c>
      <c r="G104" s="2">
        <v>6</v>
      </c>
      <c r="H104" s="2">
        <v>20</v>
      </c>
      <c r="I104" s="2">
        <v>0</v>
      </c>
      <c r="J104" s="2">
        <v>1</v>
      </c>
      <c r="K104" s="16">
        <f t="shared" si="18"/>
        <v>0.3333333333333333</v>
      </c>
      <c r="L104" s="17">
        <f t="shared" si="19"/>
        <v>3.3333333333333335</v>
      </c>
      <c r="M104" s="16">
        <f t="shared" si="20"/>
        <v>0</v>
      </c>
      <c r="N104" s="16">
        <f t="shared" si="21"/>
        <v>0.16666666666666666</v>
      </c>
      <c r="O104" s="19">
        <f t="shared" si="22"/>
        <v>4.166666666666667</v>
      </c>
      <c r="Q104" s="20">
        <f>IF(G104=0,0,((E104/G104)-0.3)/0.2)</f>
        <v>0.16666666666666663</v>
      </c>
      <c r="R104" s="20">
        <f>IF(G104=0,0,((H104/G104)-3)/4)</f>
        <v>0.08333333333333337</v>
      </c>
      <c r="S104" s="20">
        <f t="shared" si="25"/>
        <v>0</v>
      </c>
      <c r="T104" s="38">
        <v>0</v>
      </c>
    </row>
    <row r="105" spans="1:20" ht="12.75">
      <c r="A105" s="14"/>
      <c r="B105" s="15"/>
      <c r="E105" s="2"/>
      <c r="G105" s="2"/>
      <c r="H105" s="2"/>
      <c r="I105" s="2"/>
      <c r="J105" s="2"/>
      <c r="K105" s="16"/>
      <c r="L105" s="17"/>
      <c r="M105" s="16"/>
      <c r="N105" s="16"/>
      <c r="O105" s="19"/>
      <c r="Q105" s="20"/>
      <c r="R105" s="20"/>
      <c r="S105" s="20"/>
      <c r="T105" s="38"/>
    </row>
    <row r="106" spans="1:20" ht="12.75">
      <c r="A106" s="21" t="s">
        <v>998</v>
      </c>
      <c r="B106" s="22"/>
      <c r="C106" s="23"/>
      <c r="D106" s="24"/>
      <c r="E106" s="23">
        <f>SUM(E9:E105)</f>
        <v>47107</v>
      </c>
      <c r="F106" s="25"/>
      <c r="G106" s="23">
        <f>SUM(G9:G105)</f>
        <v>84904</v>
      </c>
      <c r="H106" s="23">
        <f>SUM(H9:H105)</f>
        <v>543404</v>
      </c>
      <c r="I106" s="23">
        <f>SUM(I9:I105)</f>
        <v>3309</v>
      </c>
      <c r="J106" s="23">
        <f>SUM(J9:J105)</f>
        <v>2755</v>
      </c>
      <c r="K106" s="26">
        <f>IF(G106=0,0,E106/G106)</f>
        <v>0.5548266277207199</v>
      </c>
      <c r="L106" s="27">
        <f>IF(G106=0,0,H106/G106)</f>
        <v>6.4002167153491</v>
      </c>
      <c r="M106" s="26">
        <f>IF(G106=0,0,I106/G106)</f>
        <v>0.03897342881371903</v>
      </c>
      <c r="N106" s="26">
        <f>IF(G106=0,0,J106/G106)</f>
        <v>0.03244841232450768</v>
      </c>
      <c r="O106" s="28">
        <f>SUM(Q106:T106)*100/6</f>
        <v>74.45742642670939</v>
      </c>
      <c r="Q106" s="20">
        <f>IF(G106=0,0,((E106/G106)-0.3)/0.2)</f>
        <v>1.2741331386035994</v>
      </c>
      <c r="R106" s="20">
        <f>IF(G106=0,0,((H106/G106)-3)/4)</f>
        <v>0.8500541788372751</v>
      </c>
      <c r="S106" s="20">
        <f>IF(G106=0,0,I106/G106/0.05)</f>
        <v>0.7794685762743805</v>
      </c>
      <c r="T106" s="20">
        <f>IF(G106=0,0,(0.095-J106/G106)/0.04)</f>
        <v>1.563789691887308</v>
      </c>
    </row>
    <row r="107" spans="1:2" ht="12.75">
      <c r="A107" s="14"/>
      <c r="B107" s="15"/>
    </row>
    <row r="108" spans="1:2" ht="12.75">
      <c r="A108" s="14"/>
      <c r="B108" s="15"/>
    </row>
    <row r="109" spans="1:2" ht="12.75">
      <c r="A109" s="14"/>
      <c r="B109" s="15"/>
    </row>
    <row r="110" spans="1:11" ht="15.75">
      <c r="A110" s="5" t="s">
        <v>999</v>
      </c>
      <c r="B110" s="6" t="s">
        <v>1012</v>
      </c>
      <c r="C110" s="7" t="s">
        <v>1036</v>
      </c>
      <c r="D110" s="8"/>
      <c r="E110" s="9" t="s">
        <v>1000</v>
      </c>
      <c r="F110" s="9"/>
      <c r="G110" s="9" t="s">
        <v>989</v>
      </c>
      <c r="H110" s="9" t="s">
        <v>1001</v>
      </c>
      <c r="I110" s="9" t="s">
        <v>990</v>
      </c>
      <c r="K110" s="9" t="s">
        <v>1944</v>
      </c>
    </row>
    <row r="111" spans="1:8" ht="12.75">
      <c r="A111" s="14"/>
      <c r="B111" s="15"/>
      <c r="H111" s="18"/>
    </row>
    <row r="112" spans="1:11" ht="12.75">
      <c r="A112" s="14" t="s">
        <v>1095</v>
      </c>
      <c r="B112" s="15" t="s">
        <v>676</v>
      </c>
      <c r="C112" s="2">
        <v>7</v>
      </c>
      <c r="E112" s="2">
        <f>439+398+482+404+423+371+23</f>
        <v>2540</v>
      </c>
      <c r="G112" s="2">
        <f>2179+1921+2272+1859+2481+1842+41</f>
        <v>12595</v>
      </c>
      <c r="H112" s="17">
        <f aca="true" t="shared" si="28" ref="H112:H175">G112/E112</f>
        <v>4.958661417322834</v>
      </c>
      <c r="I112" s="2">
        <f>14+8+12+8+17+9+3</f>
        <v>71</v>
      </c>
      <c r="K112" s="18">
        <f aca="true" t="shared" si="29" ref="K112:K175">IF(C112=0,0,G112/C112)</f>
        <v>1799.2857142857142</v>
      </c>
    </row>
    <row r="113" spans="1:11" ht="12.75">
      <c r="A113" s="14" t="s">
        <v>1094</v>
      </c>
      <c r="B113" s="15" t="s">
        <v>711</v>
      </c>
      <c r="C113" s="2">
        <v>7</v>
      </c>
      <c r="E113" s="2">
        <f>444+431+262+394+206+341+390</f>
        <v>2468</v>
      </c>
      <c r="G113" s="2">
        <f>2219+2052+1113+2013+697+1388+1939</f>
        <v>11421</v>
      </c>
      <c r="H113" s="17">
        <f t="shared" si="28"/>
        <v>4.627633711507293</v>
      </c>
      <c r="I113" s="2">
        <f>12+15+11+15+7+13+16</f>
        <v>89</v>
      </c>
      <c r="K113" s="18">
        <f t="shared" si="29"/>
        <v>1631.5714285714287</v>
      </c>
    </row>
    <row r="114" spans="1:11" ht="12.75">
      <c r="A114" s="14" t="s">
        <v>1099</v>
      </c>
      <c r="B114" s="15" t="s">
        <v>440</v>
      </c>
      <c r="C114" s="2">
        <v>7</v>
      </c>
      <c r="E114" s="2">
        <f>341+306+318+236+301+314+161</f>
        <v>1977</v>
      </c>
      <c r="G114" s="2">
        <f>1701+1555+1526+1024+1406+1936+732</f>
        <v>9880</v>
      </c>
      <c r="H114" s="17">
        <f t="shared" si="28"/>
        <v>4.997470915528579</v>
      </c>
      <c r="I114" s="2">
        <f>8+12+9+4+6+10+9</f>
        <v>58</v>
      </c>
      <c r="K114" s="18">
        <f t="shared" si="29"/>
        <v>1411.4285714285713</v>
      </c>
    </row>
    <row r="115" spans="1:11" ht="12.75">
      <c r="A115" s="14" t="s">
        <v>1107</v>
      </c>
      <c r="B115" s="15" t="s">
        <v>480</v>
      </c>
      <c r="C115" s="2">
        <v>5</v>
      </c>
      <c r="E115" s="2">
        <f>280+270+463+390+425</f>
        <v>1828</v>
      </c>
      <c r="G115" s="2">
        <f>1410+1318+2205+2064+2132</f>
        <v>9129</v>
      </c>
      <c r="H115" s="17">
        <f t="shared" si="28"/>
        <v>4.993982494529541</v>
      </c>
      <c r="I115" s="2">
        <f>7+11+9+15+17</f>
        <v>59</v>
      </c>
      <c r="K115" s="18">
        <f t="shared" si="29"/>
        <v>1825.8</v>
      </c>
    </row>
    <row r="116" spans="1:11" ht="12.75">
      <c r="A116" s="14" t="s">
        <v>1112</v>
      </c>
      <c r="B116" s="15" t="s">
        <v>1858</v>
      </c>
      <c r="C116" s="2">
        <v>6</v>
      </c>
      <c r="E116" s="2">
        <f>211+349+369+312+295+344</f>
        <v>1880</v>
      </c>
      <c r="G116" s="2">
        <f>1060+1693+2065+1245+1175+1472</f>
        <v>8710</v>
      </c>
      <c r="H116" s="17">
        <f t="shared" si="28"/>
        <v>4.632978723404255</v>
      </c>
      <c r="I116" s="2">
        <f>6+3+13+9+10+7</f>
        <v>48</v>
      </c>
      <c r="K116" s="18">
        <f t="shared" si="29"/>
        <v>1451.6666666666667</v>
      </c>
    </row>
    <row r="117" spans="1:11" ht="12.75">
      <c r="A117" s="14" t="s">
        <v>1093</v>
      </c>
      <c r="B117" s="15" t="s">
        <v>1538</v>
      </c>
      <c r="C117" s="2">
        <v>6</v>
      </c>
      <c r="E117" s="2">
        <f>415+351+205+260+323+395</f>
        <v>1949</v>
      </c>
      <c r="G117" s="2">
        <f>2264+1586+719+1009+1496+1599</f>
        <v>8673</v>
      </c>
      <c r="H117" s="17">
        <f t="shared" si="28"/>
        <v>4.449974345818369</v>
      </c>
      <c r="I117" s="2">
        <f>20+9+6+7+10+5</f>
        <v>57</v>
      </c>
      <c r="K117" s="18">
        <f t="shared" si="29"/>
        <v>1445.5</v>
      </c>
    </row>
    <row r="118" spans="1:11" ht="12.75">
      <c r="A118" s="14" t="s">
        <v>1911</v>
      </c>
      <c r="B118" s="15" t="s">
        <v>52</v>
      </c>
      <c r="C118" s="2">
        <v>5</v>
      </c>
      <c r="E118" s="2">
        <f>278+373+323+341+376</f>
        <v>1691</v>
      </c>
      <c r="G118" s="2">
        <f>1254+1696+1265+1817+1618</f>
        <v>7650</v>
      </c>
      <c r="H118" s="17">
        <f t="shared" si="28"/>
        <v>4.523950325251331</v>
      </c>
      <c r="I118" s="2">
        <f>7+8+7+12+13</f>
        <v>47</v>
      </c>
      <c r="K118" s="18">
        <f t="shared" si="29"/>
        <v>1530</v>
      </c>
    </row>
    <row r="119" spans="1:11" ht="12.75">
      <c r="A119" s="14" t="s">
        <v>1100</v>
      </c>
      <c r="B119" s="15" t="s">
        <v>593</v>
      </c>
      <c r="C119" s="2">
        <v>5</v>
      </c>
      <c r="E119" s="2">
        <f>360+348+421+431+32</f>
        <v>1592</v>
      </c>
      <c r="G119" s="2">
        <f>1551+1494+2071+2008+82</f>
        <v>7206</v>
      </c>
      <c r="H119" s="17">
        <f t="shared" si="28"/>
        <v>4.526381909547739</v>
      </c>
      <c r="I119" s="2">
        <f>14+12+15+7+11</f>
        <v>59</v>
      </c>
      <c r="K119" s="18">
        <f t="shared" si="29"/>
        <v>1441.2</v>
      </c>
    </row>
    <row r="120" spans="1:11" ht="12.75">
      <c r="A120" s="14" t="s">
        <v>1116</v>
      </c>
      <c r="B120" s="15" t="s">
        <v>309</v>
      </c>
      <c r="C120" s="2">
        <v>7</v>
      </c>
      <c r="E120" s="2">
        <f>5+173+307+155+366+396+190</f>
        <v>1592</v>
      </c>
      <c r="G120" s="2">
        <f>11+900+1510+593+1501+1831+797</f>
        <v>7143</v>
      </c>
      <c r="H120" s="17">
        <f t="shared" si="28"/>
        <v>4.48680904522613</v>
      </c>
      <c r="I120" s="2">
        <f>3+6+3+1+12+5+7</f>
        <v>37</v>
      </c>
      <c r="K120" s="18">
        <f t="shared" si="29"/>
        <v>1020.4285714285714</v>
      </c>
    </row>
    <row r="121" spans="1:11" ht="12.75">
      <c r="A121" s="14" t="s">
        <v>2004</v>
      </c>
      <c r="B121" s="15" t="s">
        <v>640</v>
      </c>
      <c r="C121" s="2">
        <v>4</v>
      </c>
      <c r="E121" s="2">
        <f>237+415+420+252</f>
        <v>1324</v>
      </c>
      <c r="G121" s="2">
        <f>1113+2136+2040+1284</f>
        <v>6573</v>
      </c>
      <c r="H121" s="17">
        <f t="shared" si="28"/>
        <v>4.964501510574018</v>
      </c>
      <c r="I121" s="2">
        <f>8+16+12+7</f>
        <v>43</v>
      </c>
      <c r="K121" s="18">
        <f t="shared" si="29"/>
        <v>1643.25</v>
      </c>
    </row>
    <row r="122" spans="1:11" ht="12.75">
      <c r="A122" s="14" t="s">
        <v>1842</v>
      </c>
      <c r="B122" s="15" t="s">
        <v>912</v>
      </c>
      <c r="C122" s="2">
        <v>5</v>
      </c>
      <c r="E122" s="2">
        <f>335+355+382+33+315</f>
        <v>1420</v>
      </c>
      <c r="G122" s="2">
        <f>1583+1799+1782+52+1285</f>
        <v>6501</v>
      </c>
      <c r="H122" s="17">
        <f t="shared" si="28"/>
        <v>4.578169014084507</v>
      </c>
      <c r="I122" s="2">
        <f>9+13+10+3+3</f>
        <v>38</v>
      </c>
      <c r="K122" s="18">
        <f t="shared" si="29"/>
        <v>1300.2</v>
      </c>
    </row>
    <row r="123" spans="1:11" ht="12.75">
      <c r="A123" s="14" t="s">
        <v>1105</v>
      </c>
      <c r="B123" s="15" t="s">
        <v>101</v>
      </c>
      <c r="C123" s="2">
        <v>7</v>
      </c>
      <c r="E123" s="2">
        <f>67+318+334+395+69+221+57</f>
        <v>1461</v>
      </c>
      <c r="G123" s="2">
        <f>258+1373+1512+1865+220+839+143</f>
        <v>6210</v>
      </c>
      <c r="H123" s="17">
        <f t="shared" si="28"/>
        <v>4.250513347022587</v>
      </c>
      <c r="I123" s="2">
        <f>4+7+8+13+1+12+3</f>
        <v>48</v>
      </c>
      <c r="K123" s="18">
        <f t="shared" si="29"/>
        <v>887.1428571428571</v>
      </c>
    </row>
    <row r="124" spans="1:11" ht="12.75">
      <c r="A124" s="14" t="s">
        <v>1103</v>
      </c>
      <c r="B124" s="15" t="s">
        <v>824</v>
      </c>
      <c r="C124" s="2">
        <v>5</v>
      </c>
      <c r="E124" s="2">
        <f>391+351+366+180+4</f>
        <v>1292</v>
      </c>
      <c r="G124" s="2">
        <f>1954+1476+1778+834+12</f>
        <v>6054</v>
      </c>
      <c r="H124" s="17">
        <f t="shared" si="28"/>
        <v>4.685758513931889</v>
      </c>
      <c r="I124" s="2">
        <f>20+11+14+5+0</f>
        <v>50</v>
      </c>
      <c r="K124" s="18">
        <f t="shared" si="29"/>
        <v>1210.8</v>
      </c>
    </row>
    <row r="125" spans="1:11" ht="12.75">
      <c r="A125" s="14" t="s">
        <v>1182</v>
      </c>
      <c r="B125" s="15" t="s">
        <v>1861</v>
      </c>
      <c r="C125" s="2">
        <v>6</v>
      </c>
      <c r="E125" s="2">
        <f>355+418+378+40+158+3</f>
        <v>1352</v>
      </c>
      <c r="G125" s="2">
        <f>1746+1780+1578+120+727+1</f>
        <v>5952</v>
      </c>
      <c r="H125" s="17">
        <f t="shared" si="28"/>
        <v>4.402366863905326</v>
      </c>
      <c r="I125" s="2">
        <f>13+11+9+1+3+0</f>
        <v>37</v>
      </c>
      <c r="K125" s="18">
        <f t="shared" si="29"/>
        <v>992</v>
      </c>
    </row>
    <row r="126" spans="1:11" ht="12.75">
      <c r="A126" s="14" t="s">
        <v>1168</v>
      </c>
      <c r="B126" s="15" t="s">
        <v>441</v>
      </c>
      <c r="C126" s="2">
        <v>6</v>
      </c>
      <c r="E126" s="2">
        <f>1+203+436+427+28+102</f>
        <v>1197</v>
      </c>
      <c r="G126" s="2">
        <f>4+879+2150+2195+82+614</f>
        <v>5924</v>
      </c>
      <c r="H126" s="17">
        <f t="shared" si="28"/>
        <v>4.9490392648287385</v>
      </c>
      <c r="I126" s="2">
        <f>0+13+10+22+7+2</f>
        <v>54</v>
      </c>
      <c r="K126" s="18">
        <f t="shared" si="29"/>
        <v>987.3333333333334</v>
      </c>
    </row>
    <row r="127" spans="1:11" ht="12.75">
      <c r="A127" s="14" t="s">
        <v>7</v>
      </c>
      <c r="B127" s="15" t="s">
        <v>873</v>
      </c>
      <c r="C127" s="2">
        <v>4</v>
      </c>
      <c r="E127" s="2">
        <f>278+363+298+203</f>
        <v>1142</v>
      </c>
      <c r="G127" s="2">
        <f>1755+1997+1253+801</f>
        <v>5806</v>
      </c>
      <c r="H127" s="17">
        <f t="shared" si="28"/>
        <v>5.084063047285464</v>
      </c>
      <c r="I127" s="2">
        <f>10+14+9+3</f>
        <v>36</v>
      </c>
      <c r="K127" s="18">
        <f t="shared" si="29"/>
        <v>1451.5</v>
      </c>
    </row>
    <row r="128" spans="1:11" ht="12.75">
      <c r="A128" s="14" t="s">
        <v>1106</v>
      </c>
      <c r="B128" s="15" t="s">
        <v>567</v>
      </c>
      <c r="C128" s="2">
        <v>6</v>
      </c>
      <c r="E128" s="2">
        <f>218+216+390+238+6+55</f>
        <v>1123</v>
      </c>
      <c r="G128" s="2">
        <f>1363+1058+1966+1002+18+208</f>
        <v>5615</v>
      </c>
      <c r="H128" s="17">
        <f t="shared" si="28"/>
        <v>5</v>
      </c>
      <c r="I128" s="2">
        <f>10+6+10+3+0+3</f>
        <v>32</v>
      </c>
      <c r="K128" s="18">
        <f t="shared" si="29"/>
        <v>935.8333333333334</v>
      </c>
    </row>
    <row r="129" spans="1:11" ht="12.75">
      <c r="A129" s="14" t="s">
        <v>1114</v>
      </c>
      <c r="B129" s="15" t="s">
        <v>293</v>
      </c>
      <c r="C129" s="2">
        <v>6</v>
      </c>
      <c r="E129" s="2">
        <f>154+291+328+210+2+85</f>
        <v>1070</v>
      </c>
      <c r="G129" s="2">
        <f>938+1381+1703+916+1+246</f>
        <v>5185</v>
      </c>
      <c r="H129" s="17">
        <f t="shared" si="28"/>
        <v>4.845794392523365</v>
      </c>
      <c r="I129" s="2">
        <f>6+8+10+6+0+7</f>
        <v>37</v>
      </c>
      <c r="K129" s="18">
        <f t="shared" si="29"/>
        <v>864.1666666666666</v>
      </c>
    </row>
    <row r="130" spans="1:11" ht="12.75">
      <c r="A130" s="14" t="s">
        <v>1710</v>
      </c>
      <c r="B130" s="15" t="s">
        <v>548</v>
      </c>
      <c r="C130" s="2">
        <v>5</v>
      </c>
      <c r="E130" s="2">
        <f>10+455+306+227+98</f>
        <v>1096</v>
      </c>
      <c r="G130" s="2">
        <f>28+1982+1296+883+374</f>
        <v>4563</v>
      </c>
      <c r="H130" s="17">
        <f t="shared" si="28"/>
        <v>4.163321167883212</v>
      </c>
      <c r="I130" s="2">
        <f>0+13+7+5+7</f>
        <v>32</v>
      </c>
      <c r="K130" s="18">
        <f t="shared" si="29"/>
        <v>912.6</v>
      </c>
    </row>
    <row r="131" spans="1:11" ht="12.75">
      <c r="A131" s="14" t="s">
        <v>1109</v>
      </c>
      <c r="B131" s="15" t="s">
        <v>874</v>
      </c>
      <c r="C131" s="2">
        <v>4</v>
      </c>
      <c r="E131" s="2">
        <f>409+255+184+86</f>
        <v>934</v>
      </c>
      <c r="G131" s="2">
        <f>1927+1146+816+335</f>
        <v>4224</v>
      </c>
      <c r="H131" s="17">
        <f t="shared" si="28"/>
        <v>4.522483940042827</v>
      </c>
      <c r="I131" s="2">
        <f>9+9+1+4</f>
        <v>23</v>
      </c>
      <c r="K131" s="18">
        <f t="shared" si="29"/>
        <v>1056</v>
      </c>
    </row>
    <row r="132" spans="1:11" ht="12.75">
      <c r="A132" s="14" t="s">
        <v>591</v>
      </c>
      <c r="B132" s="15" t="s">
        <v>752</v>
      </c>
      <c r="C132" s="2">
        <v>2</v>
      </c>
      <c r="E132" s="2">
        <f>359+430</f>
        <v>789</v>
      </c>
      <c r="G132" s="2">
        <f>2211+1976</f>
        <v>4187</v>
      </c>
      <c r="H132" s="17">
        <f t="shared" si="28"/>
        <v>5.306717363751584</v>
      </c>
      <c r="I132" s="2">
        <f>19+7</f>
        <v>26</v>
      </c>
      <c r="K132" s="18">
        <f t="shared" si="29"/>
        <v>2093.5</v>
      </c>
    </row>
    <row r="133" spans="1:11" ht="12.75">
      <c r="A133" s="14" t="s">
        <v>1096</v>
      </c>
      <c r="B133" s="15" t="s">
        <v>263</v>
      </c>
      <c r="C133" s="2">
        <v>6</v>
      </c>
      <c r="E133" s="2">
        <f>398+374+25+64+27+3</f>
        <v>891</v>
      </c>
      <c r="G133" s="2">
        <f>1915+1746+112+245+78+7</f>
        <v>4103</v>
      </c>
      <c r="H133" s="17">
        <f t="shared" si="28"/>
        <v>4.604938271604938</v>
      </c>
      <c r="I133" s="2">
        <f>10+12+0+4+2+0</f>
        <v>28</v>
      </c>
      <c r="K133" s="18">
        <f t="shared" si="29"/>
        <v>683.8333333333334</v>
      </c>
    </row>
    <row r="134" spans="1:11" ht="12.75">
      <c r="A134" s="14" t="s">
        <v>23</v>
      </c>
      <c r="B134" s="15" t="s">
        <v>67</v>
      </c>
      <c r="C134" s="2">
        <v>4</v>
      </c>
      <c r="E134" s="2">
        <f>321+92+223+238</f>
        <v>874</v>
      </c>
      <c r="G134" s="2">
        <f>1576+462+1060+1004</f>
        <v>4102</v>
      </c>
      <c r="H134" s="17">
        <f t="shared" si="28"/>
        <v>4.693363844393593</v>
      </c>
      <c r="I134" s="2">
        <f>13+1+11+4</f>
        <v>29</v>
      </c>
      <c r="K134" s="18">
        <f t="shared" si="29"/>
        <v>1025.5</v>
      </c>
    </row>
    <row r="135" spans="1:11" ht="12.75">
      <c r="A135" s="14" t="s">
        <v>1</v>
      </c>
      <c r="B135" s="15" t="s">
        <v>692</v>
      </c>
      <c r="C135" s="2">
        <v>4</v>
      </c>
      <c r="E135" s="2">
        <f>13+146+265+277</f>
        <v>701</v>
      </c>
      <c r="G135" s="2">
        <f>25+668+1568+1694</f>
        <v>3955</v>
      </c>
      <c r="H135" s="17">
        <f t="shared" si="28"/>
        <v>5.641940085592012</v>
      </c>
      <c r="I135" s="2">
        <f>9+6+8+13</f>
        <v>36</v>
      </c>
      <c r="K135" s="18">
        <f t="shared" si="29"/>
        <v>988.75</v>
      </c>
    </row>
    <row r="136" spans="1:11" ht="12.75">
      <c r="A136" s="14" t="s">
        <v>2017</v>
      </c>
      <c r="B136" s="15" t="s">
        <v>1250</v>
      </c>
      <c r="C136" s="2">
        <v>4</v>
      </c>
      <c r="E136" s="2">
        <f>62+222+203+384</f>
        <v>871</v>
      </c>
      <c r="G136" s="2">
        <f>254+1163+747+1755</f>
        <v>3919</v>
      </c>
      <c r="H136" s="17">
        <f t="shared" si="28"/>
        <v>4.499425947187142</v>
      </c>
      <c r="I136" s="2">
        <f>1+12+1+8</f>
        <v>22</v>
      </c>
      <c r="K136" s="18">
        <f t="shared" si="29"/>
        <v>979.75</v>
      </c>
    </row>
    <row r="137" spans="1:11" ht="12.75">
      <c r="A137" s="14" t="s">
        <v>1120</v>
      </c>
      <c r="B137" s="15" t="s">
        <v>510</v>
      </c>
      <c r="C137" s="2">
        <v>4</v>
      </c>
      <c r="E137" s="2">
        <f>190+422+5+265</f>
        <v>882</v>
      </c>
      <c r="G137" s="2">
        <f>606+1951+13+1253</f>
        <v>3823</v>
      </c>
      <c r="H137" s="17">
        <f t="shared" si="28"/>
        <v>4.334467120181406</v>
      </c>
      <c r="I137" s="2">
        <f>7+15+0+19</f>
        <v>41</v>
      </c>
      <c r="K137" s="18">
        <f t="shared" si="29"/>
        <v>955.75</v>
      </c>
    </row>
    <row r="138" spans="1:11" ht="12.75">
      <c r="A138" s="14" t="s">
        <v>1098</v>
      </c>
      <c r="B138" s="15" t="s">
        <v>895</v>
      </c>
      <c r="C138" s="2">
        <v>4</v>
      </c>
      <c r="E138" s="2">
        <f>336+304+107+7</f>
        <v>754</v>
      </c>
      <c r="G138" s="2">
        <f>1585+1513+392+19</f>
        <v>3509</v>
      </c>
      <c r="H138" s="17">
        <f t="shared" si="28"/>
        <v>4.653846153846154</v>
      </c>
      <c r="I138" s="2">
        <f>5+7+4+0</f>
        <v>16</v>
      </c>
      <c r="K138" s="18">
        <f t="shared" si="29"/>
        <v>877.25</v>
      </c>
    </row>
    <row r="139" spans="1:11" ht="12.75">
      <c r="A139" s="14" t="s">
        <v>1102</v>
      </c>
      <c r="B139" s="15" t="s">
        <v>1968</v>
      </c>
      <c r="C139" s="2">
        <v>3</v>
      </c>
      <c r="E139" s="2">
        <f>319+424+4</f>
        <v>747</v>
      </c>
      <c r="G139" s="2">
        <f>1515+1984+6</f>
        <v>3505</v>
      </c>
      <c r="H139" s="17">
        <f t="shared" si="28"/>
        <v>4.692101740294511</v>
      </c>
      <c r="I139" s="2">
        <f>8+7</f>
        <v>15</v>
      </c>
      <c r="K139" s="18">
        <f t="shared" si="29"/>
        <v>1168.3333333333333</v>
      </c>
    </row>
    <row r="140" spans="1:11" ht="12.75">
      <c r="A140" s="14" t="s">
        <v>367</v>
      </c>
      <c r="B140" s="15" t="s">
        <v>1570</v>
      </c>
      <c r="C140" s="2">
        <v>3</v>
      </c>
      <c r="E140" s="2">
        <f>121+140+352</f>
        <v>613</v>
      </c>
      <c r="G140" s="2">
        <f>543+728+2014</f>
        <v>3285</v>
      </c>
      <c r="H140" s="17">
        <f t="shared" si="28"/>
        <v>5.358890701468189</v>
      </c>
      <c r="I140" s="2">
        <f>5+4+10</f>
        <v>19</v>
      </c>
      <c r="K140" s="18">
        <f t="shared" si="29"/>
        <v>1095</v>
      </c>
    </row>
    <row r="141" spans="1:11" ht="12.75">
      <c r="A141" s="14" t="s">
        <v>1938</v>
      </c>
      <c r="B141" s="15" t="s">
        <v>654</v>
      </c>
      <c r="C141" s="2">
        <v>3</v>
      </c>
      <c r="E141" s="2">
        <f>330+374+34</f>
        <v>738</v>
      </c>
      <c r="G141" s="2">
        <f>1582+1445+70</f>
        <v>3097</v>
      </c>
      <c r="H141" s="17">
        <f t="shared" si="28"/>
        <v>4.196476964769648</v>
      </c>
      <c r="I141" s="2">
        <f>4+6+2</f>
        <v>12</v>
      </c>
      <c r="K141" s="18">
        <f t="shared" si="29"/>
        <v>1032.3333333333333</v>
      </c>
    </row>
    <row r="142" spans="1:11" ht="12.75">
      <c r="A142" s="14" t="s">
        <v>1132</v>
      </c>
      <c r="B142" s="15" t="s">
        <v>1553</v>
      </c>
      <c r="C142" s="2">
        <v>6</v>
      </c>
      <c r="E142" s="2">
        <f>22+57+168+176+171+46</f>
        <v>640</v>
      </c>
      <c r="G142" s="2">
        <f>101+236+651+730+1084+139</f>
        <v>2941</v>
      </c>
      <c r="H142" s="17">
        <f t="shared" si="28"/>
        <v>4.5953125</v>
      </c>
      <c r="I142" s="2">
        <f>0+1+6+8+8+4</f>
        <v>27</v>
      </c>
      <c r="K142" s="18">
        <f t="shared" si="29"/>
        <v>490.1666666666667</v>
      </c>
    </row>
    <row r="143" spans="1:11" ht="12.75">
      <c r="A143" s="14" t="s">
        <v>747</v>
      </c>
      <c r="B143" s="15" t="s">
        <v>893</v>
      </c>
      <c r="C143" s="2">
        <v>2</v>
      </c>
      <c r="E143" s="2">
        <f>285+339</f>
        <v>624</v>
      </c>
      <c r="G143" s="2">
        <f>1496+1382</f>
        <v>2878</v>
      </c>
      <c r="H143" s="17">
        <f t="shared" si="28"/>
        <v>4.612179487179487</v>
      </c>
      <c r="I143" s="2">
        <f>10+5</f>
        <v>15</v>
      </c>
      <c r="K143" s="18">
        <f t="shared" si="29"/>
        <v>1439</v>
      </c>
    </row>
    <row r="144" spans="1:11" ht="12.75">
      <c r="A144" s="14" t="s">
        <v>1115</v>
      </c>
      <c r="B144" s="15" t="s">
        <v>1956</v>
      </c>
      <c r="C144" s="2">
        <v>4</v>
      </c>
      <c r="E144" s="2">
        <f>277+242+57+64</f>
        <v>640</v>
      </c>
      <c r="G144" s="2">
        <f>1304+925+206+269</f>
        <v>2704</v>
      </c>
      <c r="H144" s="17">
        <f t="shared" si="28"/>
        <v>4.225</v>
      </c>
      <c r="I144" s="2">
        <f>8+11+2+1</f>
        <v>22</v>
      </c>
      <c r="K144" s="18">
        <f t="shared" si="29"/>
        <v>676</v>
      </c>
    </row>
    <row r="145" spans="1:11" ht="12.75">
      <c r="A145" s="14" t="s">
        <v>1122</v>
      </c>
      <c r="B145" s="15" t="s">
        <v>813</v>
      </c>
      <c r="C145" s="2">
        <v>5</v>
      </c>
      <c r="E145" s="2">
        <f>123+128+79+263+34</f>
        <v>627</v>
      </c>
      <c r="G145" s="2">
        <f>536+556+295+1143+169</f>
        <v>2699</v>
      </c>
      <c r="H145" s="17">
        <f t="shared" si="28"/>
        <v>4.304625199362041</v>
      </c>
      <c r="I145" s="2">
        <f>5+1+9+6+3</f>
        <v>24</v>
      </c>
      <c r="K145" s="18">
        <f t="shared" si="29"/>
        <v>539.8</v>
      </c>
    </row>
    <row r="146" spans="1:11" ht="12.75">
      <c r="A146" s="14" t="s">
        <v>2013</v>
      </c>
      <c r="B146" s="15" t="s">
        <v>260</v>
      </c>
      <c r="C146" s="2">
        <v>3</v>
      </c>
      <c r="E146" s="2">
        <f>1+160+301</f>
        <v>462</v>
      </c>
      <c r="G146" s="2">
        <f>-1+794+1796</f>
        <v>2589</v>
      </c>
      <c r="H146" s="17">
        <f t="shared" si="28"/>
        <v>5.603896103896104</v>
      </c>
      <c r="I146" s="2">
        <f>0+9+15</f>
        <v>24</v>
      </c>
      <c r="K146" s="18">
        <f t="shared" si="29"/>
        <v>863</v>
      </c>
    </row>
    <row r="147" spans="1:11" ht="12.75">
      <c r="A147" s="14" t="s">
        <v>400</v>
      </c>
      <c r="B147" s="15" t="s">
        <v>894</v>
      </c>
      <c r="C147" s="2">
        <v>3</v>
      </c>
      <c r="E147" s="2">
        <f>314+175+43</f>
        <v>532</v>
      </c>
      <c r="G147" s="2">
        <f>1563+811+175</f>
        <v>2549</v>
      </c>
      <c r="H147" s="17">
        <f t="shared" si="28"/>
        <v>4.791353383458647</v>
      </c>
      <c r="I147" s="2">
        <f>5+7+0</f>
        <v>12</v>
      </c>
      <c r="K147" s="18">
        <f t="shared" si="29"/>
        <v>849.6666666666666</v>
      </c>
    </row>
    <row r="148" spans="1:11" ht="12.75">
      <c r="A148" s="14" t="s">
        <v>0</v>
      </c>
      <c r="B148" s="15" t="s">
        <v>414</v>
      </c>
      <c r="C148" s="2">
        <v>2</v>
      </c>
      <c r="E148" s="2">
        <f>180+319</f>
        <v>499</v>
      </c>
      <c r="G148" s="2">
        <f>1198+1304</f>
        <v>2502</v>
      </c>
      <c r="H148" s="17">
        <f t="shared" si="28"/>
        <v>5.014028056112225</v>
      </c>
      <c r="I148" s="2">
        <f>2+3</f>
        <v>5</v>
      </c>
      <c r="K148" s="18">
        <f t="shared" si="29"/>
        <v>1251</v>
      </c>
    </row>
    <row r="149" spans="1:11" ht="12.75">
      <c r="A149" s="14" t="s">
        <v>411</v>
      </c>
      <c r="B149" s="15" t="s">
        <v>292</v>
      </c>
      <c r="C149" s="2">
        <v>3</v>
      </c>
      <c r="E149" s="2">
        <f>132+204+190</f>
        <v>526</v>
      </c>
      <c r="G149" s="2">
        <f>756+973+771</f>
        <v>2500</v>
      </c>
      <c r="H149" s="17">
        <f t="shared" si="28"/>
        <v>4.752851711026616</v>
      </c>
      <c r="I149" s="2">
        <f>1+7+3</f>
        <v>11</v>
      </c>
      <c r="K149" s="18">
        <f t="shared" si="29"/>
        <v>833.3333333333334</v>
      </c>
    </row>
    <row r="150" spans="1:11" ht="12.75">
      <c r="A150" s="14" t="s">
        <v>2006</v>
      </c>
      <c r="B150" s="15" t="s">
        <v>84</v>
      </c>
      <c r="C150" s="2">
        <v>4</v>
      </c>
      <c r="E150" s="2">
        <f>173+118+255+75</f>
        <v>621</v>
      </c>
      <c r="G150" s="2">
        <f>661+492+968+354</f>
        <v>2475</v>
      </c>
      <c r="H150" s="17">
        <f t="shared" si="28"/>
        <v>3.9855072463768115</v>
      </c>
      <c r="I150" s="2">
        <f>3+3+1+5</f>
        <v>12</v>
      </c>
      <c r="K150" s="18">
        <f t="shared" si="29"/>
        <v>618.75</v>
      </c>
    </row>
    <row r="151" spans="1:11" ht="12.75">
      <c r="A151" s="14" t="s">
        <v>1134</v>
      </c>
      <c r="B151" s="15" t="s">
        <v>547</v>
      </c>
      <c r="C151" s="2">
        <v>5</v>
      </c>
      <c r="E151" s="2">
        <f>15+74+56+72+285</f>
        <v>502</v>
      </c>
      <c r="G151" s="2">
        <f>90+311+221+340+1502</f>
        <v>2464</v>
      </c>
      <c r="H151" s="17">
        <f t="shared" si="28"/>
        <v>4.908366533864542</v>
      </c>
      <c r="I151" s="2">
        <f>1+2+1+1+15</f>
        <v>20</v>
      </c>
      <c r="K151" s="18">
        <f t="shared" si="29"/>
        <v>492.8</v>
      </c>
    </row>
    <row r="152" spans="1:11" ht="12.75">
      <c r="A152" s="14" t="s">
        <v>1149</v>
      </c>
      <c r="B152" s="15" t="s">
        <v>913</v>
      </c>
      <c r="C152" s="2">
        <v>4</v>
      </c>
      <c r="E152" s="2">
        <f>10+223+297+65</f>
        <v>595</v>
      </c>
      <c r="G152" s="2">
        <f>25+887+1378+147</f>
        <v>2437</v>
      </c>
      <c r="H152" s="17">
        <f t="shared" si="28"/>
        <v>4.095798319327731</v>
      </c>
      <c r="I152" s="2">
        <f>2+2+7+2</f>
        <v>13</v>
      </c>
      <c r="K152" s="18">
        <f t="shared" si="29"/>
        <v>609.25</v>
      </c>
    </row>
    <row r="153" spans="1:11" ht="12.75">
      <c r="A153" s="14" t="s">
        <v>1131</v>
      </c>
      <c r="B153" s="15" t="s">
        <v>8</v>
      </c>
      <c r="C153" s="2">
        <v>4</v>
      </c>
      <c r="E153" s="2">
        <f>70+46+376+73</f>
        <v>565</v>
      </c>
      <c r="G153" s="2">
        <f>238+128+1746+162</f>
        <v>2274</v>
      </c>
      <c r="H153" s="17">
        <f t="shared" si="28"/>
        <v>4.024778761061947</v>
      </c>
      <c r="I153" s="2">
        <f>7+7+13+6</f>
        <v>33</v>
      </c>
      <c r="K153" s="18">
        <f t="shared" si="29"/>
        <v>568.5</v>
      </c>
    </row>
    <row r="154" spans="1:11" ht="12.75">
      <c r="A154" s="14" t="s">
        <v>423</v>
      </c>
      <c r="B154" s="15" t="s">
        <v>279</v>
      </c>
      <c r="C154" s="2">
        <v>3</v>
      </c>
      <c r="E154" s="2">
        <f>99+353+101</f>
        <v>553</v>
      </c>
      <c r="G154" s="2">
        <f>351+1363+491</f>
        <v>2205</v>
      </c>
      <c r="H154" s="17">
        <f t="shared" si="28"/>
        <v>3.9873417721518987</v>
      </c>
      <c r="I154" s="2">
        <f>2+3+6</f>
        <v>11</v>
      </c>
      <c r="K154" s="18">
        <f t="shared" si="29"/>
        <v>735</v>
      </c>
    </row>
    <row r="155" spans="1:11" ht="12.75">
      <c r="A155" s="14" t="s">
        <v>1123</v>
      </c>
      <c r="B155" s="15" t="s">
        <v>1709</v>
      </c>
      <c r="C155" s="2">
        <v>2</v>
      </c>
      <c r="E155" s="2">
        <f>95+315</f>
        <v>410</v>
      </c>
      <c r="G155" s="2">
        <f>413+1732</f>
        <v>2145</v>
      </c>
      <c r="H155" s="17">
        <f t="shared" si="28"/>
        <v>5.2317073170731705</v>
      </c>
      <c r="I155" s="2">
        <f>3+10</f>
        <v>13</v>
      </c>
      <c r="K155" s="18">
        <f t="shared" si="29"/>
        <v>1072.5</v>
      </c>
    </row>
    <row r="156" spans="1:11" ht="12.75">
      <c r="A156" s="14" t="s">
        <v>1179</v>
      </c>
      <c r="B156" s="15" t="s">
        <v>711</v>
      </c>
      <c r="C156" s="2">
        <v>7</v>
      </c>
      <c r="E156" s="2">
        <f>8+3+224+109+27+74+89</f>
        <v>534</v>
      </c>
      <c r="G156" s="2">
        <f>-1-3+1058+356+92+299+301</f>
        <v>2102</v>
      </c>
      <c r="H156" s="17">
        <f t="shared" si="28"/>
        <v>3.9363295880149813</v>
      </c>
      <c r="I156" s="2">
        <f>3+1+7+16+0+6+4</f>
        <v>37</v>
      </c>
      <c r="K156" s="18">
        <f t="shared" si="29"/>
        <v>300.2857142857143</v>
      </c>
    </row>
    <row r="157" spans="1:11" ht="12.75">
      <c r="A157" s="14" t="s">
        <v>1731</v>
      </c>
      <c r="B157" s="15" t="s">
        <v>618</v>
      </c>
      <c r="C157" s="2">
        <v>4</v>
      </c>
      <c r="E157" s="2">
        <f>187+103+80+95</f>
        <v>465</v>
      </c>
      <c r="G157" s="2">
        <f>926+409+308+451</f>
        <v>2094</v>
      </c>
      <c r="H157" s="17">
        <f t="shared" si="28"/>
        <v>4.503225806451613</v>
      </c>
      <c r="I157" s="2">
        <f>9+4+3+3</f>
        <v>19</v>
      </c>
      <c r="K157" s="18">
        <f t="shared" si="29"/>
        <v>523.5</v>
      </c>
    </row>
    <row r="158" spans="1:11" ht="12.75">
      <c r="A158" s="14" t="s">
        <v>11</v>
      </c>
      <c r="B158" s="15" t="s">
        <v>105</v>
      </c>
      <c r="C158" s="2">
        <v>4</v>
      </c>
      <c r="E158" s="2">
        <f>49+128+269+26</f>
        <v>472</v>
      </c>
      <c r="G158" s="2">
        <f>176+597+1164+109</f>
        <v>2046</v>
      </c>
      <c r="H158" s="17">
        <f t="shared" si="28"/>
        <v>4.334745762711864</v>
      </c>
      <c r="I158" s="2">
        <f>0+3+5+1</f>
        <v>9</v>
      </c>
      <c r="K158" s="18">
        <f t="shared" si="29"/>
        <v>511.5</v>
      </c>
    </row>
    <row r="159" spans="1:11" ht="12.75">
      <c r="A159" s="14" t="s">
        <v>1097</v>
      </c>
      <c r="B159" s="15" t="s">
        <v>457</v>
      </c>
      <c r="C159" s="2">
        <v>3</v>
      </c>
      <c r="E159" s="2">
        <f>333+79+2</f>
        <v>414</v>
      </c>
      <c r="G159" s="2">
        <f>1638+348+0</f>
        <v>1986</v>
      </c>
      <c r="H159" s="17">
        <f t="shared" si="28"/>
        <v>4.797101449275362</v>
      </c>
      <c r="I159" s="2">
        <f>5+4+1</f>
        <v>10</v>
      </c>
      <c r="K159" s="18">
        <f t="shared" si="29"/>
        <v>662</v>
      </c>
    </row>
    <row r="160" spans="1:11" ht="12.75">
      <c r="A160" s="14" t="s">
        <v>1101</v>
      </c>
      <c r="B160" s="15" t="s">
        <v>401</v>
      </c>
      <c r="C160" s="2">
        <v>4</v>
      </c>
      <c r="E160" s="2">
        <f>325+10+47+60</f>
        <v>442</v>
      </c>
      <c r="G160" s="2">
        <f>1546+47+151+218</f>
        <v>1962</v>
      </c>
      <c r="H160" s="17">
        <f t="shared" si="28"/>
        <v>4.4389140271493215</v>
      </c>
      <c r="I160" s="2">
        <f>8+1+1+3</f>
        <v>13</v>
      </c>
      <c r="K160" s="18">
        <f t="shared" si="29"/>
        <v>490.5</v>
      </c>
    </row>
    <row r="161" spans="1:11" ht="12.75">
      <c r="A161" s="14" t="s">
        <v>1151</v>
      </c>
      <c r="B161" s="15" t="s">
        <v>2032</v>
      </c>
      <c r="C161" s="2">
        <v>3</v>
      </c>
      <c r="E161" s="2">
        <f>169+9+206</f>
        <v>384</v>
      </c>
      <c r="G161" s="2">
        <f>730+21+1050</f>
        <v>1801</v>
      </c>
      <c r="H161" s="17">
        <f t="shared" si="28"/>
        <v>4.690104166666667</v>
      </c>
      <c r="I161" s="2">
        <f>9+2+9</f>
        <v>20</v>
      </c>
      <c r="K161" s="18">
        <f t="shared" si="29"/>
        <v>600.3333333333334</v>
      </c>
    </row>
    <row r="162" spans="1:11" ht="12.75">
      <c r="A162" s="14" t="s">
        <v>1125</v>
      </c>
      <c r="B162" s="15" t="s">
        <v>1184</v>
      </c>
      <c r="C162" s="2">
        <v>2</v>
      </c>
      <c r="E162" s="2">
        <f>300+63</f>
        <v>363</v>
      </c>
      <c r="G162" s="2">
        <f>1483+279</f>
        <v>1762</v>
      </c>
      <c r="H162" s="17">
        <f t="shared" si="28"/>
        <v>4.853994490358127</v>
      </c>
      <c r="I162" s="2">
        <f>6+4</f>
        <v>10</v>
      </c>
      <c r="K162" s="18">
        <f t="shared" si="29"/>
        <v>881</v>
      </c>
    </row>
    <row r="163" spans="1:11" ht="12.75">
      <c r="A163" s="14" t="s">
        <v>1124</v>
      </c>
      <c r="B163" s="15" t="s">
        <v>1993</v>
      </c>
      <c r="C163" s="2">
        <v>4</v>
      </c>
      <c r="E163" s="2">
        <f>225+66+42+66</f>
        <v>399</v>
      </c>
      <c r="G163" s="2">
        <f>1078+314+121+235</f>
        <v>1748</v>
      </c>
      <c r="H163" s="17">
        <f t="shared" si="28"/>
        <v>4.380952380952381</v>
      </c>
      <c r="I163" s="2">
        <f>9+3+3+8</f>
        <v>23</v>
      </c>
      <c r="K163" s="18">
        <f t="shared" si="29"/>
        <v>437</v>
      </c>
    </row>
    <row r="164" spans="1:11" ht="12.75">
      <c r="A164" s="14" t="s">
        <v>431</v>
      </c>
      <c r="B164" s="15" t="s">
        <v>823</v>
      </c>
      <c r="C164" s="2">
        <v>2</v>
      </c>
      <c r="E164" s="2">
        <f>199+189</f>
        <v>388</v>
      </c>
      <c r="G164" s="2">
        <f>853+889</f>
        <v>1742</v>
      </c>
      <c r="H164" s="17">
        <f t="shared" si="28"/>
        <v>4.489690721649485</v>
      </c>
      <c r="I164" s="2">
        <f>6+4</f>
        <v>10</v>
      </c>
      <c r="K164" s="18">
        <f t="shared" si="29"/>
        <v>871</v>
      </c>
    </row>
    <row r="165" spans="1:11" ht="12.75">
      <c r="A165" s="14" t="s">
        <v>2016</v>
      </c>
      <c r="B165" s="15" t="s">
        <v>1251</v>
      </c>
      <c r="C165" s="2">
        <v>3</v>
      </c>
      <c r="E165" s="2">
        <f>316+20+20</f>
        <v>356</v>
      </c>
      <c r="G165" s="2">
        <f>1471+76+72</f>
        <v>1619</v>
      </c>
      <c r="H165" s="17">
        <f t="shared" si="28"/>
        <v>4.547752808988764</v>
      </c>
      <c r="I165" s="2">
        <f>11+1+1</f>
        <v>13</v>
      </c>
      <c r="K165" s="18">
        <f t="shared" si="29"/>
        <v>539.6666666666666</v>
      </c>
    </row>
    <row r="166" spans="1:11" ht="12.75">
      <c r="A166" s="14" t="s">
        <v>674</v>
      </c>
      <c r="B166" s="15" t="s">
        <v>675</v>
      </c>
      <c r="C166" s="2">
        <v>1</v>
      </c>
      <c r="E166" s="2">
        <f>334</f>
        <v>334</v>
      </c>
      <c r="G166" s="2">
        <f>1616</f>
        <v>1616</v>
      </c>
      <c r="H166" s="17">
        <f t="shared" si="28"/>
        <v>4.838323353293413</v>
      </c>
      <c r="I166" s="2">
        <f>10</f>
        <v>10</v>
      </c>
      <c r="K166" s="18">
        <f t="shared" si="29"/>
        <v>1616</v>
      </c>
    </row>
    <row r="167" spans="1:11" ht="12.75">
      <c r="A167" s="14" t="s">
        <v>1110</v>
      </c>
      <c r="B167" s="15" t="s">
        <v>1990</v>
      </c>
      <c r="C167" s="2">
        <v>3</v>
      </c>
      <c r="E167" s="2">
        <f>246+88+75</f>
        <v>409</v>
      </c>
      <c r="G167" s="2">
        <f>1123+272+212</f>
        <v>1607</v>
      </c>
      <c r="H167" s="17">
        <f t="shared" si="28"/>
        <v>3.9290953545232274</v>
      </c>
      <c r="I167" s="2">
        <f>5+4+6</f>
        <v>15</v>
      </c>
      <c r="K167" s="18">
        <f t="shared" si="29"/>
        <v>535.6666666666666</v>
      </c>
    </row>
    <row r="168" spans="1:11" ht="12.75">
      <c r="A168" s="14" t="s">
        <v>1128</v>
      </c>
      <c r="B168" s="15" t="s">
        <v>1054</v>
      </c>
      <c r="C168" s="2">
        <v>2</v>
      </c>
      <c r="E168" s="2">
        <f>282+43</f>
        <v>325</v>
      </c>
      <c r="G168" s="2">
        <f>1407+181</f>
        <v>1588</v>
      </c>
      <c r="H168" s="17">
        <f t="shared" si="28"/>
        <v>4.886153846153846</v>
      </c>
      <c r="I168" s="2">
        <f>16+1</f>
        <v>17</v>
      </c>
      <c r="K168" s="18">
        <f t="shared" si="29"/>
        <v>794</v>
      </c>
    </row>
    <row r="169" spans="1:11" ht="12.75">
      <c r="A169" s="14" t="s">
        <v>280</v>
      </c>
      <c r="B169" s="15" t="s">
        <v>278</v>
      </c>
      <c r="C169" s="2">
        <v>1</v>
      </c>
      <c r="E169" s="2">
        <f>321</f>
        <v>321</v>
      </c>
      <c r="G169" s="2">
        <f>1536</f>
        <v>1536</v>
      </c>
      <c r="H169" s="17">
        <f t="shared" si="28"/>
        <v>4.785046728971962</v>
      </c>
      <c r="I169" s="2">
        <f>11</f>
        <v>11</v>
      </c>
      <c r="K169" s="18">
        <f t="shared" si="29"/>
        <v>1536</v>
      </c>
    </row>
    <row r="170" spans="1:11" ht="12.75">
      <c r="A170" s="14" t="s">
        <v>1104</v>
      </c>
      <c r="B170" s="15" t="s">
        <v>493</v>
      </c>
      <c r="C170" s="2">
        <v>4</v>
      </c>
      <c r="E170" s="2">
        <f>338+19+8+24</f>
        <v>389</v>
      </c>
      <c r="G170" s="2">
        <f>1385+76+0+63</f>
        <v>1524</v>
      </c>
      <c r="H170" s="17">
        <f t="shared" si="28"/>
        <v>3.917737789203085</v>
      </c>
      <c r="I170" s="2">
        <f>8+0+1+3</f>
        <v>12</v>
      </c>
      <c r="K170" s="18">
        <f t="shared" si="29"/>
        <v>381</v>
      </c>
    </row>
    <row r="171" spans="1:11" ht="12.75">
      <c r="A171" s="14" t="s">
        <v>203</v>
      </c>
      <c r="B171" s="15" t="s">
        <v>1552</v>
      </c>
      <c r="C171" s="2">
        <v>1</v>
      </c>
      <c r="E171" s="2">
        <f>305</f>
        <v>305</v>
      </c>
      <c r="G171" s="2">
        <f>1422</f>
        <v>1422</v>
      </c>
      <c r="H171" s="17">
        <f t="shared" si="28"/>
        <v>4.662295081967213</v>
      </c>
      <c r="I171" s="2">
        <f>8</f>
        <v>8</v>
      </c>
      <c r="K171" s="18">
        <f t="shared" si="29"/>
        <v>1422</v>
      </c>
    </row>
    <row r="172" spans="1:11" ht="12.75">
      <c r="A172" s="14" t="s">
        <v>1108</v>
      </c>
      <c r="B172" s="15" t="s">
        <v>549</v>
      </c>
      <c r="C172" s="2">
        <v>5</v>
      </c>
      <c r="E172" s="2">
        <f>257+31+31+5+4</f>
        <v>328</v>
      </c>
      <c r="G172" s="2">
        <f>1203+82+94+11+6</f>
        <v>1396</v>
      </c>
      <c r="H172" s="17">
        <f t="shared" si="28"/>
        <v>4.2560975609756095</v>
      </c>
      <c r="I172" s="2">
        <f>9+0+0+2+0</f>
        <v>11</v>
      </c>
      <c r="K172" s="18">
        <f t="shared" si="29"/>
        <v>279.2</v>
      </c>
    </row>
    <row r="173" spans="1:11" ht="12.75">
      <c r="A173" s="14" t="s">
        <v>617</v>
      </c>
      <c r="B173" s="15" t="s">
        <v>564</v>
      </c>
      <c r="C173" s="2">
        <v>2</v>
      </c>
      <c r="E173" s="2">
        <f>142+168</f>
        <v>310</v>
      </c>
      <c r="G173" s="2">
        <f>552+818</f>
        <v>1370</v>
      </c>
      <c r="H173" s="17">
        <f t="shared" si="28"/>
        <v>4.419354838709677</v>
      </c>
      <c r="I173" s="2">
        <f>10+11</f>
        <v>21</v>
      </c>
      <c r="K173" s="18">
        <f t="shared" si="29"/>
        <v>685</v>
      </c>
    </row>
    <row r="174" spans="1:11" ht="12.75">
      <c r="A174" s="14" t="s">
        <v>366</v>
      </c>
      <c r="B174" s="15" t="s">
        <v>1570</v>
      </c>
      <c r="C174" s="2">
        <v>3</v>
      </c>
      <c r="E174" s="2">
        <f>196+98+38</f>
        <v>332</v>
      </c>
      <c r="G174" s="2">
        <f>714+437+197</f>
        <v>1348</v>
      </c>
      <c r="H174" s="17">
        <f t="shared" si="28"/>
        <v>4.0602409638554215</v>
      </c>
      <c r="I174" s="2">
        <f>3+0+1</f>
        <v>4</v>
      </c>
      <c r="K174" s="18">
        <f t="shared" si="29"/>
        <v>449.3333333333333</v>
      </c>
    </row>
    <row r="175" spans="1:11" ht="12.75">
      <c r="A175" s="14" t="s">
        <v>1176</v>
      </c>
      <c r="B175" s="15" t="s">
        <v>532</v>
      </c>
      <c r="C175" s="2">
        <v>5</v>
      </c>
      <c r="E175" s="2">
        <f>1+273+41+2+4</f>
        <v>321</v>
      </c>
      <c r="G175" s="2">
        <f>0+1195+112+12+15</f>
        <v>1334</v>
      </c>
      <c r="H175" s="17">
        <f t="shared" si="28"/>
        <v>4.155763239875389</v>
      </c>
      <c r="I175" s="2">
        <f>0+14+0+0+0</f>
        <v>14</v>
      </c>
      <c r="K175" s="18">
        <f t="shared" si="29"/>
        <v>266.8</v>
      </c>
    </row>
    <row r="176" spans="1:11" ht="12.75">
      <c r="A176" s="14" t="s">
        <v>929</v>
      </c>
      <c r="B176" s="15" t="s">
        <v>261</v>
      </c>
      <c r="C176" s="2">
        <v>2</v>
      </c>
      <c r="E176" s="2">
        <f>234+6</f>
        <v>240</v>
      </c>
      <c r="G176" s="2">
        <f>1293+8</f>
        <v>1301</v>
      </c>
      <c r="H176" s="17">
        <f aca="true" t="shared" si="30" ref="H176:H239">G176/E176</f>
        <v>5.420833333333333</v>
      </c>
      <c r="I176" s="2">
        <f>4+0</f>
        <v>4</v>
      </c>
      <c r="K176" s="18">
        <f aca="true" t="shared" si="31" ref="K176:K239">IF(C176=0,0,G176/C176)</f>
        <v>650.5</v>
      </c>
    </row>
    <row r="177" spans="1:11" ht="12.75">
      <c r="A177" s="14" t="s">
        <v>1050</v>
      </c>
      <c r="B177" s="15" t="s">
        <v>1998</v>
      </c>
      <c r="C177" s="2">
        <v>4</v>
      </c>
      <c r="E177" s="2">
        <f>97+58+51+2</f>
        <v>208</v>
      </c>
      <c r="G177" s="2">
        <f>465+427+374+16</f>
        <v>1282</v>
      </c>
      <c r="H177" s="17">
        <f t="shared" si="30"/>
        <v>6.163461538461538</v>
      </c>
      <c r="I177" s="2">
        <f>4+1+0+0</f>
        <v>5</v>
      </c>
      <c r="K177" s="18">
        <f t="shared" si="31"/>
        <v>320.5</v>
      </c>
    </row>
    <row r="178" spans="1:11" ht="12.75">
      <c r="A178" s="14" t="s">
        <v>931</v>
      </c>
      <c r="B178" s="15" t="s">
        <v>261</v>
      </c>
      <c r="C178" s="2">
        <v>2</v>
      </c>
      <c r="E178" s="2">
        <f>192+95</f>
        <v>287</v>
      </c>
      <c r="G178" s="2">
        <f>896+370</f>
        <v>1266</v>
      </c>
      <c r="H178" s="17">
        <f t="shared" si="30"/>
        <v>4.411149825783972</v>
      </c>
      <c r="I178" s="2">
        <f>2+4</f>
        <v>6</v>
      </c>
      <c r="K178" s="18">
        <f t="shared" si="31"/>
        <v>633</v>
      </c>
    </row>
    <row r="179" spans="1:11" ht="12.75">
      <c r="A179" s="14" t="s">
        <v>1111</v>
      </c>
      <c r="B179" s="15" t="s">
        <v>772</v>
      </c>
      <c r="C179" s="2">
        <v>3</v>
      </c>
      <c r="E179" s="2">
        <f>241+5+37</f>
        <v>283</v>
      </c>
      <c r="G179" s="2">
        <f>1109+5+116</f>
        <v>1230</v>
      </c>
      <c r="H179" s="17">
        <f t="shared" si="30"/>
        <v>4.3462897526501765</v>
      </c>
      <c r="I179" s="2">
        <f>11+1+7</f>
        <v>19</v>
      </c>
      <c r="K179" s="18">
        <f t="shared" si="31"/>
        <v>410</v>
      </c>
    </row>
    <row r="180" spans="1:11" ht="12.75">
      <c r="A180" s="14" t="s">
        <v>1113</v>
      </c>
      <c r="B180" s="15" t="s">
        <v>1812</v>
      </c>
      <c r="C180" s="2">
        <v>2</v>
      </c>
      <c r="E180" s="2">
        <f>186+34</f>
        <v>220</v>
      </c>
      <c r="G180" s="2">
        <f>1031+92</f>
        <v>1123</v>
      </c>
      <c r="H180" s="17">
        <f t="shared" si="30"/>
        <v>5.1045454545454545</v>
      </c>
      <c r="I180" s="2">
        <f>1+11</f>
        <v>12</v>
      </c>
      <c r="K180" s="18">
        <f t="shared" si="31"/>
        <v>561.5</v>
      </c>
    </row>
    <row r="181" spans="1:11" ht="12.75">
      <c r="A181" s="14" t="s">
        <v>1023</v>
      </c>
      <c r="B181" s="15" t="s">
        <v>492</v>
      </c>
      <c r="C181" s="2">
        <v>5</v>
      </c>
      <c r="E181" s="2">
        <f>112+75+65+39+38</f>
        <v>329</v>
      </c>
      <c r="G181" s="2">
        <f>405+279+285+96+45</f>
        <v>1110</v>
      </c>
      <c r="H181" s="17">
        <f t="shared" si="30"/>
        <v>3.3738601823708207</v>
      </c>
      <c r="I181" s="2">
        <f>3+1+5+1+0</f>
        <v>10</v>
      </c>
      <c r="K181" s="18">
        <f t="shared" si="31"/>
        <v>222</v>
      </c>
    </row>
    <row r="182" spans="1:11" ht="12.75">
      <c r="A182" s="14" t="s">
        <v>615</v>
      </c>
      <c r="B182" s="15" t="s">
        <v>564</v>
      </c>
      <c r="C182" s="2">
        <v>2</v>
      </c>
      <c r="E182" s="2">
        <f>149+91</f>
        <v>240</v>
      </c>
      <c r="G182" s="2">
        <f>686+406</f>
        <v>1092</v>
      </c>
      <c r="H182" s="17">
        <f t="shared" si="30"/>
        <v>4.55</v>
      </c>
      <c r="I182" s="2">
        <f>1+5</f>
        <v>6</v>
      </c>
      <c r="K182" s="18">
        <f t="shared" si="31"/>
        <v>546</v>
      </c>
    </row>
    <row r="183" spans="1:11" ht="12.75">
      <c r="A183" s="14" t="s">
        <v>1053</v>
      </c>
      <c r="B183" s="15" t="s">
        <v>562</v>
      </c>
      <c r="C183" s="2">
        <v>7</v>
      </c>
      <c r="E183" s="2">
        <f>83+41+39+35+54+68+40</f>
        <v>360</v>
      </c>
      <c r="G183" s="2">
        <f>400+134+120+13+250+130+44</f>
        <v>1091</v>
      </c>
      <c r="H183" s="17">
        <f t="shared" si="30"/>
        <v>3.0305555555555554</v>
      </c>
      <c r="I183" s="2">
        <f>2+1+0+2+3+1+1</f>
        <v>10</v>
      </c>
      <c r="K183" s="18">
        <f t="shared" si="31"/>
        <v>155.85714285714286</v>
      </c>
    </row>
    <row r="184" spans="1:11" ht="12.75">
      <c r="A184" s="14" t="s">
        <v>1119</v>
      </c>
      <c r="B184" s="15" t="s">
        <v>849</v>
      </c>
      <c r="C184" s="2">
        <v>4</v>
      </c>
      <c r="E184" s="2">
        <f>141+4+4+72</f>
        <v>221</v>
      </c>
      <c r="G184" s="2">
        <f>643+11+19+396</f>
        <v>1069</v>
      </c>
      <c r="H184" s="17">
        <f t="shared" si="30"/>
        <v>4.83710407239819</v>
      </c>
      <c r="I184" s="2">
        <f>5+0+2+1</f>
        <v>8</v>
      </c>
      <c r="K184" s="18">
        <f t="shared" si="31"/>
        <v>267.25</v>
      </c>
    </row>
    <row r="185" spans="1:11" ht="12.75">
      <c r="A185" s="14" t="s">
        <v>503</v>
      </c>
      <c r="B185" s="15" t="s">
        <v>502</v>
      </c>
      <c r="C185" s="2">
        <v>1</v>
      </c>
      <c r="E185" s="2">
        <v>210</v>
      </c>
      <c r="G185" s="2">
        <v>1015</v>
      </c>
      <c r="H185" s="17">
        <f t="shared" si="30"/>
        <v>4.833333333333333</v>
      </c>
      <c r="I185" s="2">
        <v>7</v>
      </c>
      <c r="K185" s="18">
        <f t="shared" si="31"/>
        <v>1015</v>
      </c>
    </row>
    <row r="186" spans="1:11" ht="12.75">
      <c r="A186" s="14" t="s">
        <v>1147</v>
      </c>
      <c r="B186" s="15" t="s">
        <v>439</v>
      </c>
      <c r="C186" s="2">
        <v>4</v>
      </c>
      <c r="E186" s="2">
        <f>12+3+52+164</f>
        <v>231</v>
      </c>
      <c r="G186" s="2">
        <f>28+0+212+713</f>
        <v>953</v>
      </c>
      <c r="H186" s="17">
        <f t="shared" si="30"/>
        <v>4.125541125541125</v>
      </c>
      <c r="I186" s="2">
        <f>3+1+0+3</f>
        <v>7</v>
      </c>
      <c r="K186" s="18">
        <f t="shared" si="31"/>
        <v>238.25</v>
      </c>
    </row>
    <row r="187" spans="1:11" ht="12.75">
      <c r="A187" s="15" t="s">
        <v>1198</v>
      </c>
      <c r="B187" s="15" t="s">
        <v>1199</v>
      </c>
      <c r="C187" s="2">
        <v>1</v>
      </c>
      <c r="E187" s="2">
        <v>195</v>
      </c>
      <c r="G187" s="2">
        <v>948</v>
      </c>
      <c r="H187" s="17">
        <f t="shared" si="30"/>
        <v>4.861538461538461</v>
      </c>
      <c r="I187" s="2">
        <v>8</v>
      </c>
      <c r="K187" s="18">
        <f t="shared" si="31"/>
        <v>948</v>
      </c>
    </row>
    <row r="188" spans="1:11" ht="12.75">
      <c r="A188" s="14" t="s">
        <v>531</v>
      </c>
      <c r="B188" s="15" t="s">
        <v>639</v>
      </c>
      <c r="C188" s="2">
        <v>2</v>
      </c>
      <c r="E188" s="2">
        <f>39+193</f>
        <v>232</v>
      </c>
      <c r="G188" s="2">
        <f>135+799</f>
        <v>934</v>
      </c>
      <c r="H188" s="17">
        <f t="shared" si="30"/>
        <v>4.025862068965517</v>
      </c>
      <c r="I188" s="2">
        <f>1+4</f>
        <v>5</v>
      </c>
      <c r="K188" s="18">
        <f t="shared" si="31"/>
        <v>467</v>
      </c>
    </row>
    <row r="189" spans="1:11" ht="12.75">
      <c r="A189" s="14" t="s">
        <v>2024</v>
      </c>
      <c r="B189" s="15" t="s">
        <v>402</v>
      </c>
      <c r="C189" s="2">
        <v>2</v>
      </c>
      <c r="E189" s="2">
        <f>182+1</f>
        <v>183</v>
      </c>
      <c r="G189" s="2">
        <f>926-2</f>
        <v>924</v>
      </c>
      <c r="H189" s="17">
        <f t="shared" si="30"/>
        <v>5.049180327868853</v>
      </c>
      <c r="I189" s="2">
        <f>3+0</f>
        <v>3</v>
      </c>
      <c r="K189" s="18">
        <f t="shared" si="31"/>
        <v>462</v>
      </c>
    </row>
    <row r="190" spans="1:11" ht="12.75">
      <c r="A190" s="14" t="s">
        <v>1145</v>
      </c>
      <c r="B190" s="15" t="s">
        <v>443</v>
      </c>
      <c r="C190" s="2">
        <v>5</v>
      </c>
      <c r="E190" s="2">
        <f>99+13+54+63+3</f>
        <v>232</v>
      </c>
      <c r="G190" s="2">
        <f>379+30+214+266+14</f>
        <v>903</v>
      </c>
      <c r="H190" s="17">
        <f t="shared" si="30"/>
        <v>3.8922413793103448</v>
      </c>
      <c r="I190" s="2">
        <f>1+0+3+5+0</f>
        <v>9</v>
      </c>
      <c r="K190" s="18">
        <f t="shared" si="31"/>
        <v>180.6</v>
      </c>
    </row>
    <row r="191" spans="1:11" ht="12.75">
      <c r="A191" s="14" t="s">
        <v>1148</v>
      </c>
      <c r="B191" s="15" t="s">
        <v>676</v>
      </c>
      <c r="C191" s="2">
        <v>7</v>
      </c>
      <c r="E191" s="2">
        <f>9+9+5+14+34+38+93</f>
        <v>202</v>
      </c>
      <c r="G191" s="2">
        <f>27+26+10+61+143+141+466</f>
        <v>874</v>
      </c>
      <c r="H191" s="17">
        <f t="shared" si="30"/>
        <v>4.326732673267327</v>
      </c>
      <c r="I191" s="2">
        <f>4+0+0+1+2+3+0</f>
        <v>10</v>
      </c>
      <c r="K191" s="18">
        <f t="shared" si="31"/>
        <v>124.85714285714286</v>
      </c>
    </row>
    <row r="192" spans="1:11" ht="12.75">
      <c r="A192" s="14" t="s">
        <v>99</v>
      </c>
      <c r="B192" s="15" t="s">
        <v>98</v>
      </c>
      <c r="C192" s="2">
        <v>1</v>
      </c>
      <c r="E192" s="2">
        <f>211</f>
        <v>211</v>
      </c>
      <c r="G192" s="2">
        <f>870</f>
        <v>870</v>
      </c>
      <c r="H192" s="17">
        <f t="shared" si="30"/>
        <v>4.123222748815166</v>
      </c>
      <c r="I192" s="2">
        <f>1</f>
        <v>1</v>
      </c>
      <c r="K192" s="18">
        <f t="shared" si="31"/>
        <v>870</v>
      </c>
    </row>
    <row r="193" spans="1:11" ht="12.75">
      <c r="A193" s="14" t="s">
        <v>1785</v>
      </c>
      <c r="B193" s="15" t="s">
        <v>789</v>
      </c>
      <c r="C193" s="2">
        <v>2</v>
      </c>
      <c r="E193" s="2">
        <f>58+153</f>
        <v>211</v>
      </c>
      <c r="G193" s="2">
        <f>154+689</f>
        <v>843</v>
      </c>
      <c r="H193" s="17">
        <f t="shared" si="30"/>
        <v>3.995260663507109</v>
      </c>
      <c r="I193" s="2">
        <f>0+6</f>
        <v>6</v>
      </c>
      <c r="K193" s="18">
        <f t="shared" si="31"/>
        <v>421.5</v>
      </c>
    </row>
    <row r="194" spans="1:11" ht="12.75">
      <c r="A194" s="14" t="s">
        <v>310</v>
      </c>
      <c r="B194" s="15" t="s">
        <v>308</v>
      </c>
      <c r="C194" s="2">
        <v>1</v>
      </c>
      <c r="E194" s="2">
        <f>174</f>
        <v>174</v>
      </c>
      <c r="G194" s="2">
        <f>826</f>
        <v>826</v>
      </c>
      <c r="H194" s="17">
        <f t="shared" si="30"/>
        <v>4.747126436781609</v>
      </c>
      <c r="I194" s="2">
        <f>2</f>
        <v>2</v>
      </c>
      <c r="K194" s="18">
        <f t="shared" si="31"/>
        <v>826</v>
      </c>
    </row>
    <row r="195" spans="1:11" ht="12.75">
      <c r="A195" s="14" t="s">
        <v>385</v>
      </c>
      <c r="B195" s="15" t="s">
        <v>384</v>
      </c>
      <c r="C195" s="2">
        <v>1</v>
      </c>
      <c r="E195" s="2">
        <v>184</v>
      </c>
      <c r="G195" s="2">
        <v>788</v>
      </c>
      <c r="H195" s="17">
        <f t="shared" si="30"/>
        <v>4.282608695652174</v>
      </c>
      <c r="I195" s="2">
        <v>5</v>
      </c>
      <c r="K195" s="18">
        <f t="shared" si="31"/>
        <v>788</v>
      </c>
    </row>
    <row r="196" spans="1:11" ht="12.75">
      <c r="A196" s="14" t="s">
        <v>590</v>
      </c>
      <c r="B196" s="15" t="s">
        <v>754</v>
      </c>
      <c r="C196" s="2">
        <v>4</v>
      </c>
      <c r="E196" s="2">
        <f>156+1+11+22</f>
        <v>190</v>
      </c>
      <c r="G196" s="2">
        <f>709-1+36+44</f>
        <v>788</v>
      </c>
      <c r="H196" s="17">
        <f t="shared" si="30"/>
        <v>4.147368421052631</v>
      </c>
      <c r="I196" s="2">
        <f>5+0+2+9</f>
        <v>16</v>
      </c>
      <c r="K196" s="18">
        <f t="shared" si="31"/>
        <v>197</v>
      </c>
    </row>
    <row r="197" spans="1:11" ht="12.75">
      <c r="A197" s="14" t="s">
        <v>608</v>
      </c>
      <c r="B197" s="15" t="s">
        <v>82</v>
      </c>
      <c r="C197" s="2">
        <v>1</v>
      </c>
      <c r="E197" s="2">
        <f>213</f>
        <v>213</v>
      </c>
      <c r="G197" s="2">
        <f>767</f>
        <v>767</v>
      </c>
      <c r="H197" s="17">
        <f t="shared" si="30"/>
        <v>3.60093896713615</v>
      </c>
      <c r="I197" s="2">
        <f>9</f>
        <v>9</v>
      </c>
      <c r="K197" s="18">
        <f t="shared" si="31"/>
        <v>767</v>
      </c>
    </row>
    <row r="198" spans="1:11" ht="12.75">
      <c r="A198" s="14" t="s">
        <v>1086</v>
      </c>
      <c r="B198" s="15" t="s">
        <v>353</v>
      </c>
      <c r="C198" s="2">
        <v>5</v>
      </c>
      <c r="E198" s="2">
        <f>47+66+49+43+1</f>
        <v>206</v>
      </c>
      <c r="G198" s="2">
        <f>204+245+141+176-1</f>
        <v>765</v>
      </c>
      <c r="H198" s="17">
        <f t="shared" si="30"/>
        <v>3.7135922330097086</v>
      </c>
      <c r="I198" s="2">
        <f>2+2+1+2+0</f>
        <v>7</v>
      </c>
      <c r="K198" s="18">
        <f t="shared" si="31"/>
        <v>153</v>
      </c>
    </row>
    <row r="199" spans="1:11" ht="12.75">
      <c r="A199" s="14" t="s">
        <v>1169</v>
      </c>
      <c r="B199" s="15" t="s">
        <v>712</v>
      </c>
      <c r="C199" s="2">
        <v>6</v>
      </c>
      <c r="E199" s="2">
        <f>28+5+24+1+72+55</f>
        <v>185</v>
      </c>
      <c r="G199" s="2">
        <f>86+4+84-7+277+277</f>
        <v>721</v>
      </c>
      <c r="H199" s="17">
        <f t="shared" si="30"/>
        <v>3.8972972972972975</v>
      </c>
      <c r="I199" s="2">
        <f>6+0+1+0+2+2</f>
        <v>11</v>
      </c>
      <c r="K199" s="18">
        <f t="shared" si="31"/>
        <v>120.16666666666667</v>
      </c>
    </row>
    <row r="200" spans="1:11" ht="12.75">
      <c r="A200" s="14" t="s">
        <v>1118</v>
      </c>
      <c r="B200" s="15" t="s">
        <v>2003</v>
      </c>
      <c r="C200" s="2">
        <v>3</v>
      </c>
      <c r="E200" s="2">
        <f>175+13+2</f>
        <v>190</v>
      </c>
      <c r="G200" s="2">
        <f>665+43+3</f>
        <v>711</v>
      </c>
      <c r="H200" s="17">
        <f t="shared" si="30"/>
        <v>3.7421052631578946</v>
      </c>
      <c r="I200" s="2">
        <f>3+0+0</f>
        <v>3</v>
      </c>
      <c r="K200" s="18">
        <f t="shared" si="31"/>
        <v>237</v>
      </c>
    </row>
    <row r="201" spans="1:11" ht="12.75">
      <c r="A201" s="14" t="s">
        <v>1121</v>
      </c>
      <c r="B201" s="15" t="s">
        <v>1801</v>
      </c>
      <c r="C201" s="2">
        <v>2</v>
      </c>
      <c r="E201" s="2">
        <f>147+42</f>
        <v>189</v>
      </c>
      <c r="G201" s="2">
        <f>542+162</f>
        <v>704</v>
      </c>
      <c r="H201" s="17">
        <f t="shared" si="30"/>
        <v>3.7248677248677247</v>
      </c>
      <c r="I201" s="2">
        <f>2+5</f>
        <v>7</v>
      </c>
      <c r="K201" s="18">
        <f t="shared" si="31"/>
        <v>352</v>
      </c>
    </row>
    <row r="202" spans="1:11" ht="12.75">
      <c r="A202" s="14" t="s">
        <v>1117</v>
      </c>
      <c r="B202" s="15" t="s">
        <v>1183</v>
      </c>
      <c r="C202" s="2">
        <v>1</v>
      </c>
      <c r="E202" s="2">
        <v>152</v>
      </c>
      <c r="G202" s="2">
        <v>682</v>
      </c>
      <c r="H202" s="17">
        <f t="shared" si="30"/>
        <v>4.4868421052631575</v>
      </c>
      <c r="I202" s="2">
        <v>4</v>
      </c>
      <c r="K202" s="18">
        <f t="shared" si="31"/>
        <v>682</v>
      </c>
    </row>
    <row r="203" spans="1:11" ht="12.75">
      <c r="A203" s="14" t="s">
        <v>565</v>
      </c>
      <c r="B203" s="15" t="s">
        <v>566</v>
      </c>
      <c r="C203" s="2">
        <v>1</v>
      </c>
      <c r="E203" s="2">
        <f>133</f>
        <v>133</v>
      </c>
      <c r="G203" s="2">
        <f>666</f>
        <v>666</v>
      </c>
      <c r="H203" s="17">
        <f t="shared" si="30"/>
        <v>5.007518796992481</v>
      </c>
      <c r="I203" s="2">
        <f>3</f>
        <v>3</v>
      </c>
      <c r="K203" s="18">
        <f t="shared" si="31"/>
        <v>666</v>
      </c>
    </row>
    <row r="204" spans="1:11" ht="12.75">
      <c r="A204" s="14" t="s">
        <v>1166</v>
      </c>
      <c r="B204" s="15" t="s">
        <v>416</v>
      </c>
      <c r="C204" s="2">
        <v>4</v>
      </c>
      <c r="E204" s="2">
        <f>4+59+109+13</f>
        <v>185</v>
      </c>
      <c r="G204" s="2">
        <f>5+184+437+36</f>
        <v>662</v>
      </c>
      <c r="H204" s="17">
        <f t="shared" si="30"/>
        <v>3.5783783783783782</v>
      </c>
      <c r="I204" s="2">
        <f>2+3+1+5</f>
        <v>11</v>
      </c>
      <c r="K204" s="18">
        <f t="shared" si="31"/>
        <v>165.5</v>
      </c>
    </row>
    <row r="205" spans="1:11" ht="12.75">
      <c r="A205" s="14" t="s">
        <v>1018</v>
      </c>
      <c r="B205" s="15" t="s">
        <v>399</v>
      </c>
      <c r="C205" s="2">
        <v>4</v>
      </c>
      <c r="E205" s="2">
        <f>62+30+64+58</f>
        <v>214</v>
      </c>
      <c r="G205" s="2">
        <f>153+80+170+211</f>
        <v>614</v>
      </c>
      <c r="H205" s="17">
        <f t="shared" si="30"/>
        <v>2.869158878504673</v>
      </c>
      <c r="I205" s="2">
        <f>0+1+6+5</f>
        <v>12</v>
      </c>
      <c r="K205" s="18">
        <f t="shared" si="31"/>
        <v>153.5</v>
      </c>
    </row>
    <row r="206" spans="1:11" ht="12.75">
      <c r="A206" s="14" t="s">
        <v>1792</v>
      </c>
      <c r="B206" s="15" t="s">
        <v>296</v>
      </c>
      <c r="C206" s="2">
        <v>3</v>
      </c>
      <c r="E206" s="2">
        <f>29+91+1</f>
        <v>121</v>
      </c>
      <c r="G206" s="2">
        <f>137+470-3</f>
        <v>604</v>
      </c>
      <c r="H206" s="17">
        <f t="shared" si="30"/>
        <v>4.991735537190083</v>
      </c>
      <c r="I206" s="2">
        <f>0+1+0</f>
        <v>1</v>
      </c>
      <c r="K206" s="18">
        <f t="shared" si="31"/>
        <v>201.33333333333334</v>
      </c>
    </row>
    <row r="207" spans="1:11" ht="12.75">
      <c r="A207" s="14" t="s">
        <v>1894</v>
      </c>
      <c r="B207" s="15" t="s">
        <v>1860</v>
      </c>
      <c r="C207" s="2">
        <v>4</v>
      </c>
      <c r="E207" s="2">
        <f>1+2+54+71</f>
        <v>128</v>
      </c>
      <c r="G207" s="2">
        <f>0+14+264+315</f>
        <v>593</v>
      </c>
      <c r="H207" s="17">
        <f t="shared" si="30"/>
        <v>4.6328125</v>
      </c>
      <c r="I207" s="2">
        <f>0+0+1+2</f>
        <v>3</v>
      </c>
      <c r="K207" s="18">
        <f t="shared" si="31"/>
        <v>148.25</v>
      </c>
    </row>
    <row r="208" spans="1:11" ht="12.75">
      <c r="A208" s="14" t="s">
        <v>1063</v>
      </c>
      <c r="B208" s="15" t="s">
        <v>510</v>
      </c>
      <c r="C208" s="2">
        <v>4</v>
      </c>
      <c r="E208" s="2">
        <f>37+44+42+41</f>
        <v>164</v>
      </c>
      <c r="G208" s="2">
        <f>161+125+171+93</f>
        <v>550</v>
      </c>
      <c r="H208" s="17">
        <f t="shared" si="30"/>
        <v>3.3536585365853657</v>
      </c>
      <c r="I208" s="2">
        <f>1+2+0+1</f>
        <v>4</v>
      </c>
      <c r="K208" s="18">
        <f t="shared" si="31"/>
        <v>137.5</v>
      </c>
    </row>
    <row r="209" spans="1:11" ht="12.75">
      <c r="A209" s="14" t="s">
        <v>356</v>
      </c>
      <c r="B209" s="15" t="s">
        <v>1859</v>
      </c>
      <c r="C209" s="2">
        <v>3</v>
      </c>
      <c r="E209" s="2">
        <f>6+79+64</f>
        <v>149</v>
      </c>
      <c r="G209" s="2">
        <f>12+366+148</f>
        <v>526</v>
      </c>
      <c r="H209" s="17">
        <f t="shared" si="30"/>
        <v>3.530201342281879</v>
      </c>
      <c r="I209" s="2">
        <f>0+3+1</f>
        <v>4</v>
      </c>
      <c r="K209" s="18">
        <f t="shared" si="31"/>
        <v>175.33333333333334</v>
      </c>
    </row>
    <row r="210" spans="1:11" ht="12.75">
      <c r="A210" s="14" t="s">
        <v>607</v>
      </c>
      <c r="B210" s="15" t="s">
        <v>83</v>
      </c>
      <c r="C210" s="2">
        <v>2</v>
      </c>
      <c r="E210" s="2">
        <f>13+90</f>
        <v>103</v>
      </c>
      <c r="G210" s="2">
        <f>51+454</f>
        <v>505</v>
      </c>
      <c r="H210" s="17">
        <f t="shared" si="30"/>
        <v>4.902912621359223</v>
      </c>
      <c r="I210" s="2">
        <f>0+2</f>
        <v>2</v>
      </c>
      <c r="K210" s="18">
        <f t="shared" si="31"/>
        <v>252.5</v>
      </c>
    </row>
    <row r="211" spans="1:11" ht="12.75">
      <c r="A211" s="14" t="s">
        <v>2031</v>
      </c>
      <c r="B211" s="15" t="s">
        <v>415</v>
      </c>
      <c r="C211" s="2">
        <v>2</v>
      </c>
      <c r="E211" s="2">
        <f>99+32</f>
        <v>131</v>
      </c>
      <c r="G211" s="2">
        <f>431+46</f>
        <v>477</v>
      </c>
      <c r="H211" s="17">
        <f t="shared" si="30"/>
        <v>3.6412213740458017</v>
      </c>
      <c r="I211" s="2">
        <f>4+12</f>
        <v>16</v>
      </c>
      <c r="K211" s="18">
        <f t="shared" si="31"/>
        <v>238.5</v>
      </c>
    </row>
    <row r="212" spans="1:11" ht="12.75">
      <c r="A212" s="14" t="s">
        <v>25</v>
      </c>
      <c r="B212" s="15" t="s">
        <v>975</v>
      </c>
      <c r="C212" s="2">
        <v>3</v>
      </c>
      <c r="E212" s="2">
        <f>28+3+109</f>
        <v>140</v>
      </c>
      <c r="G212" s="2">
        <f>72+14+388</f>
        <v>474</v>
      </c>
      <c r="H212" s="17">
        <f t="shared" si="30"/>
        <v>3.3857142857142857</v>
      </c>
      <c r="I212" s="2">
        <f>2+0+0</f>
        <v>2</v>
      </c>
      <c r="K212" s="18">
        <f t="shared" si="31"/>
        <v>158</v>
      </c>
    </row>
    <row r="213" spans="1:11" ht="12.75">
      <c r="A213" s="14" t="s">
        <v>1060</v>
      </c>
      <c r="B213" s="15" t="s">
        <v>276</v>
      </c>
      <c r="C213" s="2">
        <v>5</v>
      </c>
      <c r="E213" s="2">
        <f>18+1+41+38+41</f>
        <v>139</v>
      </c>
      <c r="G213" s="2">
        <f>80+0+113+120+129</f>
        <v>442</v>
      </c>
      <c r="H213" s="17">
        <f t="shared" si="30"/>
        <v>3.179856115107914</v>
      </c>
      <c r="I213" s="2">
        <f>0+0+2+0+1</f>
        <v>3</v>
      </c>
      <c r="K213" s="18">
        <f t="shared" si="31"/>
        <v>88.4</v>
      </c>
    </row>
    <row r="214" spans="1:11" ht="12.75">
      <c r="A214" s="14" t="s">
        <v>2021</v>
      </c>
      <c r="B214" s="15" t="s">
        <v>1540</v>
      </c>
      <c r="C214" s="2">
        <v>3</v>
      </c>
      <c r="E214" s="2">
        <f>113+23+9</f>
        <v>145</v>
      </c>
      <c r="G214" s="2">
        <f>368+40+16</f>
        <v>424</v>
      </c>
      <c r="H214" s="17">
        <f t="shared" si="30"/>
        <v>2.924137931034483</v>
      </c>
      <c r="I214" s="2">
        <f>1+3+1</f>
        <v>5</v>
      </c>
      <c r="K214" s="18">
        <f t="shared" si="31"/>
        <v>141.33333333333334</v>
      </c>
    </row>
    <row r="215" spans="1:11" ht="12.75">
      <c r="A215" s="14" t="s">
        <v>1794</v>
      </c>
      <c r="B215" s="15" t="s">
        <v>2027</v>
      </c>
      <c r="C215" s="2">
        <v>2</v>
      </c>
      <c r="E215" s="2">
        <f>52+66</f>
        <v>118</v>
      </c>
      <c r="G215" s="2">
        <f>220+193</f>
        <v>413</v>
      </c>
      <c r="H215" s="17">
        <f t="shared" si="30"/>
        <v>3.5</v>
      </c>
      <c r="I215" s="2">
        <f>3+3</f>
        <v>6</v>
      </c>
      <c r="K215" s="18">
        <f t="shared" si="31"/>
        <v>206.5</v>
      </c>
    </row>
    <row r="216" spans="1:11" ht="12.75">
      <c r="A216" s="14" t="s">
        <v>543</v>
      </c>
      <c r="B216" s="15" t="s">
        <v>542</v>
      </c>
      <c r="C216" s="2">
        <v>1</v>
      </c>
      <c r="E216" s="2">
        <f>93</f>
        <v>93</v>
      </c>
      <c r="G216" s="2">
        <f>410</f>
        <v>410</v>
      </c>
      <c r="H216" s="17">
        <f t="shared" si="30"/>
        <v>4.408602150537634</v>
      </c>
      <c r="I216" s="2">
        <f>4</f>
        <v>4</v>
      </c>
      <c r="K216" s="18">
        <f t="shared" si="31"/>
        <v>410</v>
      </c>
    </row>
    <row r="217" spans="1:11" ht="12.75">
      <c r="A217" s="14" t="s">
        <v>1033</v>
      </c>
      <c r="B217" s="15" t="s">
        <v>875</v>
      </c>
      <c r="C217" s="2">
        <v>5</v>
      </c>
      <c r="E217" s="2">
        <f>37+61+54+78+3</f>
        <v>233</v>
      </c>
      <c r="G217" s="2">
        <f>126+98+62+124-3</f>
        <v>407</v>
      </c>
      <c r="H217" s="17">
        <f t="shared" si="30"/>
        <v>1.7467811158798283</v>
      </c>
      <c r="I217" s="2">
        <f>3+4+0+8+0</f>
        <v>15</v>
      </c>
      <c r="K217" s="18">
        <f t="shared" si="31"/>
        <v>81.4</v>
      </c>
    </row>
    <row r="218" spans="1:11" ht="12.75">
      <c r="A218" s="14" t="s">
        <v>1770</v>
      </c>
      <c r="B218" s="15" t="s">
        <v>50</v>
      </c>
      <c r="C218" s="2">
        <v>5</v>
      </c>
      <c r="E218" s="2">
        <f>42+29+21+50+50</f>
        <v>192</v>
      </c>
      <c r="G218" s="2">
        <f>70+42+93+127+74</f>
        <v>406</v>
      </c>
      <c r="H218" s="17">
        <f t="shared" si="30"/>
        <v>2.1145833333333335</v>
      </c>
      <c r="I218" s="2">
        <f>0+0+1+1+1</f>
        <v>3</v>
      </c>
      <c r="K218" s="18">
        <f t="shared" si="31"/>
        <v>81.2</v>
      </c>
    </row>
    <row r="219" spans="1:11" ht="12.75">
      <c r="A219" s="14" t="s">
        <v>1130</v>
      </c>
      <c r="B219" s="15" t="s">
        <v>16</v>
      </c>
      <c r="C219" s="2">
        <v>3</v>
      </c>
      <c r="E219" s="2">
        <f>48+47+1</f>
        <v>96</v>
      </c>
      <c r="G219" s="2">
        <f>146+258+0</f>
        <v>404</v>
      </c>
      <c r="H219" s="17">
        <f t="shared" si="30"/>
        <v>4.208333333333333</v>
      </c>
      <c r="I219" s="2">
        <f>6+2+0</f>
        <v>8</v>
      </c>
      <c r="K219" s="18">
        <f t="shared" si="31"/>
        <v>134.66666666666666</v>
      </c>
    </row>
    <row r="220" spans="1:11" ht="12.75">
      <c r="A220" s="14" t="s">
        <v>800</v>
      </c>
      <c r="B220" s="15" t="s">
        <v>801</v>
      </c>
      <c r="C220" s="2">
        <v>1</v>
      </c>
      <c r="E220" s="2">
        <f>102</f>
        <v>102</v>
      </c>
      <c r="G220" s="2">
        <f>373</f>
        <v>373</v>
      </c>
      <c r="H220" s="17">
        <f t="shared" si="30"/>
        <v>3.656862745098039</v>
      </c>
      <c r="I220" s="2">
        <f>1</f>
        <v>1</v>
      </c>
      <c r="K220" s="18">
        <f t="shared" si="31"/>
        <v>373</v>
      </c>
    </row>
    <row r="221" spans="1:11" ht="12.75">
      <c r="A221" s="14" t="s">
        <v>471</v>
      </c>
      <c r="B221" s="15" t="s">
        <v>472</v>
      </c>
      <c r="C221" s="2">
        <v>1</v>
      </c>
      <c r="E221" s="2">
        <v>91</v>
      </c>
      <c r="G221" s="2">
        <v>371</v>
      </c>
      <c r="H221" s="17">
        <f t="shared" si="30"/>
        <v>4.076923076923077</v>
      </c>
      <c r="I221" s="2">
        <v>2</v>
      </c>
      <c r="K221" s="18">
        <f t="shared" si="31"/>
        <v>371</v>
      </c>
    </row>
    <row r="222" spans="1:11" ht="12.75">
      <c r="A222" s="14" t="s">
        <v>1055</v>
      </c>
      <c r="B222" s="15" t="s">
        <v>756</v>
      </c>
      <c r="C222" s="2">
        <v>6</v>
      </c>
      <c r="E222" s="2">
        <f>94+79+26+19+36+2</f>
        <v>256</v>
      </c>
      <c r="G222" s="2">
        <f>106+157+14+68+26-1</f>
        <v>370</v>
      </c>
      <c r="H222" s="17">
        <f t="shared" si="30"/>
        <v>1.4453125</v>
      </c>
      <c r="I222" s="2">
        <f>10+9+0+0+3+0</f>
        <v>22</v>
      </c>
      <c r="K222" s="18">
        <f t="shared" si="31"/>
        <v>61.666666666666664</v>
      </c>
    </row>
    <row r="223" spans="1:11" ht="12.75">
      <c r="A223" s="14" t="s">
        <v>421</v>
      </c>
      <c r="B223" s="15" t="s">
        <v>279</v>
      </c>
      <c r="C223" s="2">
        <v>3</v>
      </c>
      <c r="E223" s="2">
        <f>35+12+2</f>
        <v>49</v>
      </c>
      <c r="G223" s="2">
        <f>255+77+7</f>
        <v>339</v>
      </c>
      <c r="H223" s="17">
        <f t="shared" si="30"/>
        <v>6.918367346938775</v>
      </c>
      <c r="I223" s="2">
        <f>1+0+0</f>
        <v>1</v>
      </c>
      <c r="K223" s="18">
        <f t="shared" si="31"/>
        <v>113</v>
      </c>
    </row>
    <row r="224" spans="1:11" ht="12.75">
      <c r="A224" s="14" t="s">
        <v>1044</v>
      </c>
      <c r="B224" s="15" t="s">
        <v>835</v>
      </c>
      <c r="C224" s="2">
        <v>5</v>
      </c>
      <c r="E224" s="2">
        <f>40+10+40+40+30</f>
        <v>160</v>
      </c>
      <c r="G224" s="2">
        <f>64-3+75+103+96</f>
        <v>335</v>
      </c>
      <c r="H224" s="17">
        <f t="shared" si="30"/>
        <v>2.09375</v>
      </c>
      <c r="I224" s="2">
        <f>0+0+3+0+0</f>
        <v>3</v>
      </c>
      <c r="K224" s="18">
        <f t="shared" si="31"/>
        <v>67</v>
      </c>
    </row>
    <row r="225" spans="1:11" ht="12.75">
      <c r="A225" s="14" t="s">
        <v>1062</v>
      </c>
      <c r="B225" s="15" t="s">
        <v>737</v>
      </c>
      <c r="C225" s="2">
        <v>4</v>
      </c>
      <c r="E225" s="2">
        <f>2+49+42+15</f>
        <v>108</v>
      </c>
      <c r="G225" s="2">
        <f>3+112+174+31</f>
        <v>320</v>
      </c>
      <c r="H225" s="17">
        <f t="shared" si="30"/>
        <v>2.962962962962963</v>
      </c>
      <c r="I225" s="2">
        <f>0+3+2+1</f>
        <v>6</v>
      </c>
      <c r="K225" s="18">
        <f t="shared" si="31"/>
        <v>80</v>
      </c>
    </row>
    <row r="226" spans="1:11" ht="12.75">
      <c r="A226" s="14" t="s">
        <v>1126</v>
      </c>
      <c r="B226" s="15" t="s">
        <v>1751</v>
      </c>
      <c r="C226" s="2">
        <v>2</v>
      </c>
      <c r="E226" s="2">
        <f>52+18</f>
        <v>70</v>
      </c>
      <c r="G226" s="2">
        <f>272+35</f>
        <v>307</v>
      </c>
      <c r="H226" s="17">
        <f t="shared" si="30"/>
        <v>4.385714285714286</v>
      </c>
      <c r="I226" s="2">
        <f>2+2</f>
        <v>4</v>
      </c>
      <c r="K226" s="18">
        <f t="shared" si="31"/>
        <v>153.5</v>
      </c>
    </row>
    <row r="227" spans="1:11" ht="12.75">
      <c r="A227" s="14" t="s">
        <v>1025</v>
      </c>
      <c r="B227" s="15" t="s">
        <v>1964</v>
      </c>
      <c r="C227" s="2">
        <v>3</v>
      </c>
      <c r="E227" s="2">
        <f>69+57+11</f>
        <v>137</v>
      </c>
      <c r="G227" s="2">
        <f>152+99+47</f>
        <v>298</v>
      </c>
      <c r="H227" s="17">
        <f t="shared" si="30"/>
        <v>2.1751824817518246</v>
      </c>
      <c r="I227" s="2">
        <f>2+1+1</f>
        <v>4</v>
      </c>
      <c r="K227" s="18">
        <f t="shared" si="31"/>
        <v>99.33333333333333</v>
      </c>
    </row>
    <row r="228" spans="1:11" ht="12.75">
      <c r="A228" s="14" t="s">
        <v>1571</v>
      </c>
      <c r="B228" s="15" t="s">
        <v>1572</v>
      </c>
      <c r="C228" s="2">
        <v>1</v>
      </c>
      <c r="E228" s="2">
        <f>89</f>
        <v>89</v>
      </c>
      <c r="G228" s="2">
        <f>297</f>
        <v>297</v>
      </c>
      <c r="H228" s="17">
        <f t="shared" si="30"/>
        <v>3.337078651685393</v>
      </c>
      <c r="I228" s="2">
        <f>8</f>
        <v>8</v>
      </c>
      <c r="K228" s="18">
        <f t="shared" si="31"/>
        <v>297</v>
      </c>
    </row>
    <row r="229" spans="1:11" ht="12.75">
      <c r="A229" s="14" t="s">
        <v>1733</v>
      </c>
      <c r="B229" s="15" t="s">
        <v>619</v>
      </c>
      <c r="C229" s="2">
        <v>3</v>
      </c>
      <c r="E229" s="2">
        <f>3+40+28</f>
        <v>71</v>
      </c>
      <c r="G229" s="2">
        <f>11+181+98</f>
        <v>290</v>
      </c>
      <c r="H229" s="17">
        <f t="shared" si="30"/>
        <v>4.084507042253521</v>
      </c>
      <c r="I229" s="2">
        <f>0+4+3</f>
        <v>7</v>
      </c>
      <c r="K229" s="18">
        <f t="shared" si="31"/>
        <v>96.66666666666667</v>
      </c>
    </row>
    <row r="230" spans="1:11" ht="12.75">
      <c r="A230" s="14" t="s">
        <v>368</v>
      </c>
      <c r="B230" s="15" t="s">
        <v>653</v>
      </c>
      <c r="C230" s="2">
        <v>2</v>
      </c>
      <c r="E230" s="2">
        <f>7+69</f>
        <v>76</v>
      </c>
      <c r="G230" s="2">
        <f>22+261</f>
        <v>283</v>
      </c>
      <c r="H230" s="17">
        <f t="shared" si="30"/>
        <v>3.723684210526316</v>
      </c>
      <c r="I230" s="2">
        <f>0+0</f>
        <v>0</v>
      </c>
      <c r="K230" s="18">
        <f t="shared" si="31"/>
        <v>141.5</v>
      </c>
    </row>
    <row r="231" spans="1:11" ht="12.75">
      <c r="A231" s="14" t="s">
        <v>1127</v>
      </c>
      <c r="B231" s="15" t="s">
        <v>1840</v>
      </c>
      <c r="C231" s="2">
        <v>2</v>
      </c>
      <c r="E231" s="2">
        <f>60+11</f>
        <v>71</v>
      </c>
      <c r="G231" s="2">
        <f>242+34</f>
        <v>276</v>
      </c>
      <c r="H231" s="17">
        <f t="shared" si="30"/>
        <v>3.887323943661972</v>
      </c>
      <c r="I231" s="2">
        <f>2+0</f>
        <v>2</v>
      </c>
      <c r="K231" s="18">
        <f t="shared" si="31"/>
        <v>138</v>
      </c>
    </row>
    <row r="232" spans="1:11" ht="12.75">
      <c r="A232" s="14" t="s">
        <v>1162</v>
      </c>
      <c r="B232" s="15" t="s">
        <v>397</v>
      </c>
      <c r="C232" s="2">
        <v>5</v>
      </c>
      <c r="E232" s="2">
        <f>13+3+25+58+1</f>
        <v>100</v>
      </c>
      <c r="G232" s="2">
        <f>21+7+54+177+16</f>
        <v>275</v>
      </c>
      <c r="H232" s="17">
        <f t="shared" si="30"/>
        <v>2.75</v>
      </c>
      <c r="I232" s="2">
        <f>5+0+4+5+0</f>
        <v>14</v>
      </c>
      <c r="K232" s="18">
        <f t="shared" si="31"/>
        <v>55</v>
      </c>
    </row>
    <row r="233" spans="1:11" ht="12.75">
      <c r="A233" s="14" t="s">
        <v>1890</v>
      </c>
      <c r="B233" s="15" t="s">
        <v>312</v>
      </c>
      <c r="C233" s="2">
        <v>3</v>
      </c>
      <c r="E233" s="2">
        <f>80+2+10</f>
        <v>92</v>
      </c>
      <c r="G233" s="2">
        <f>253+4+10</f>
        <v>267</v>
      </c>
      <c r="H233" s="17">
        <f t="shared" si="30"/>
        <v>2.902173913043478</v>
      </c>
      <c r="I233" s="2">
        <f>3+1+0</f>
        <v>4</v>
      </c>
      <c r="K233" s="18">
        <f t="shared" si="31"/>
        <v>89</v>
      </c>
    </row>
    <row r="234" spans="1:11" ht="12.75">
      <c r="A234" s="15" t="s">
        <v>1193</v>
      </c>
      <c r="B234" s="15" t="s">
        <v>1791</v>
      </c>
      <c r="C234" s="2">
        <v>2</v>
      </c>
      <c r="E234" s="2">
        <f>1+63</f>
        <v>64</v>
      </c>
      <c r="G234" s="2">
        <f>1+257</f>
        <v>258</v>
      </c>
      <c r="H234" s="17">
        <f t="shared" si="30"/>
        <v>4.03125</v>
      </c>
      <c r="I234" s="2">
        <f>1+3</f>
        <v>4</v>
      </c>
      <c r="K234" s="18">
        <f t="shared" si="31"/>
        <v>129</v>
      </c>
    </row>
    <row r="235" spans="1:11" ht="12.75">
      <c r="A235" s="14" t="s">
        <v>2023</v>
      </c>
      <c r="B235" s="15" t="s">
        <v>442</v>
      </c>
      <c r="C235" s="2">
        <v>2</v>
      </c>
      <c r="E235" s="2">
        <f>7+58</f>
        <v>65</v>
      </c>
      <c r="G235" s="2">
        <f>24+228</f>
        <v>252</v>
      </c>
      <c r="H235" s="17">
        <f t="shared" si="30"/>
        <v>3.876923076923077</v>
      </c>
      <c r="I235" s="2">
        <f>2+3</f>
        <v>5</v>
      </c>
      <c r="K235" s="18">
        <f t="shared" si="31"/>
        <v>126</v>
      </c>
    </row>
    <row r="236" spans="1:11" ht="12.75">
      <c r="A236" s="14" t="s">
        <v>605</v>
      </c>
      <c r="B236" s="15" t="s">
        <v>606</v>
      </c>
      <c r="C236" s="2">
        <v>1</v>
      </c>
      <c r="E236" s="2">
        <f>58</f>
        <v>58</v>
      </c>
      <c r="G236" s="2">
        <f>251</f>
        <v>251</v>
      </c>
      <c r="H236" s="17">
        <f t="shared" si="30"/>
        <v>4.327586206896552</v>
      </c>
      <c r="I236" s="2">
        <f>0</f>
        <v>0</v>
      </c>
      <c r="K236" s="18">
        <f t="shared" si="31"/>
        <v>251</v>
      </c>
    </row>
    <row r="237" spans="1:11" ht="12.75">
      <c r="A237" s="14" t="s">
        <v>1129</v>
      </c>
      <c r="B237" s="15" t="s">
        <v>2012</v>
      </c>
      <c r="C237" s="2">
        <v>2</v>
      </c>
      <c r="E237" s="2">
        <f>59+15</f>
        <v>74</v>
      </c>
      <c r="G237" s="2">
        <f>176+61</f>
        <v>237</v>
      </c>
      <c r="H237" s="17">
        <f t="shared" si="30"/>
        <v>3.2027027027027026</v>
      </c>
      <c r="I237" s="2">
        <f>6+0</f>
        <v>6</v>
      </c>
      <c r="K237" s="18">
        <f t="shared" si="31"/>
        <v>118.5</v>
      </c>
    </row>
    <row r="238" spans="1:11" ht="12.75">
      <c r="A238" s="14" t="s">
        <v>1718</v>
      </c>
      <c r="B238" s="15" t="s">
        <v>602</v>
      </c>
      <c r="C238" s="2">
        <v>3</v>
      </c>
      <c r="E238" s="2">
        <f>1+66+39</f>
        <v>106</v>
      </c>
      <c r="G238" s="2">
        <f>9+81+142</f>
        <v>232</v>
      </c>
      <c r="H238" s="17">
        <f t="shared" si="30"/>
        <v>2.188679245283019</v>
      </c>
      <c r="I238" s="2">
        <f>0+7+1</f>
        <v>8</v>
      </c>
      <c r="K238" s="18">
        <f t="shared" si="31"/>
        <v>77.33333333333333</v>
      </c>
    </row>
    <row r="239" spans="1:11" ht="12.75">
      <c r="A239" s="14" t="s">
        <v>891</v>
      </c>
      <c r="B239" s="15" t="s">
        <v>892</v>
      </c>
      <c r="C239" s="2">
        <v>1</v>
      </c>
      <c r="E239" s="2">
        <f>66</f>
        <v>66</v>
      </c>
      <c r="G239" s="2">
        <f>221</f>
        <v>221</v>
      </c>
      <c r="H239" s="17">
        <f t="shared" si="30"/>
        <v>3.3484848484848486</v>
      </c>
      <c r="I239" s="2">
        <f>3</f>
        <v>3</v>
      </c>
      <c r="K239" s="18">
        <f t="shared" si="31"/>
        <v>221</v>
      </c>
    </row>
    <row r="240" spans="1:11" ht="12.75">
      <c r="A240" s="14" t="s">
        <v>383</v>
      </c>
      <c r="B240" s="15" t="s">
        <v>1568</v>
      </c>
      <c r="C240" s="2">
        <v>2</v>
      </c>
      <c r="E240" s="2">
        <f>19+35</f>
        <v>54</v>
      </c>
      <c r="G240" s="2">
        <f>77+144</f>
        <v>221</v>
      </c>
      <c r="H240" s="17">
        <f aca="true" t="shared" si="32" ref="H240:H303">G240/E240</f>
        <v>4.092592592592593</v>
      </c>
      <c r="I240" s="2">
        <f>1+2</f>
        <v>3</v>
      </c>
      <c r="K240" s="18">
        <f aca="true" t="shared" si="33" ref="K240:K303">IF(C240=0,0,G240/C240)</f>
        <v>110.5</v>
      </c>
    </row>
    <row r="241" spans="1:11" ht="12.75">
      <c r="A241" s="14" t="s">
        <v>955</v>
      </c>
      <c r="B241" s="15" t="s">
        <v>100</v>
      </c>
      <c r="C241" s="2">
        <v>2</v>
      </c>
      <c r="E241" s="2">
        <f>6+58</f>
        <v>64</v>
      </c>
      <c r="G241" s="2">
        <f>11+210</f>
        <v>221</v>
      </c>
      <c r="H241" s="17">
        <f t="shared" si="32"/>
        <v>3.453125</v>
      </c>
      <c r="I241" s="2">
        <f>2+0</f>
        <v>2</v>
      </c>
      <c r="K241" s="18">
        <f t="shared" si="33"/>
        <v>110.5</v>
      </c>
    </row>
    <row r="242" spans="1:11" ht="12.75">
      <c r="A242" s="14" t="s">
        <v>2008</v>
      </c>
      <c r="B242" s="15" t="s">
        <v>604</v>
      </c>
      <c r="C242" s="2">
        <v>3</v>
      </c>
      <c r="E242" s="2">
        <f>17+22+8</f>
        <v>47</v>
      </c>
      <c r="G242" s="2">
        <f>64+136+10</f>
        <v>210</v>
      </c>
      <c r="H242" s="17">
        <f t="shared" si="32"/>
        <v>4.468085106382978</v>
      </c>
      <c r="I242" s="2">
        <f>3+1+1</f>
        <v>5</v>
      </c>
      <c r="K242" s="18">
        <f t="shared" si="33"/>
        <v>70</v>
      </c>
    </row>
    <row r="243" spans="1:11" ht="12.75">
      <c r="A243" s="14" t="s">
        <v>1014</v>
      </c>
      <c r="B243" s="15" t="s">
        <v>295</v>
      </c>
      <c r="C243" s="2">
        <v>5</v>
      </c>
      <c r="E243" s="2">
        <f>11+17+26+36+1</f>
        <v>91</v>
      </c>
      <c r="G243" s="2">
        <f>4+45+81+68+12</f>
        <v>210</v>
      </c>
      <c r="H243" s="17">
        <f t="shared" si="32"/>
        <v>2.3076923076923075</v>
      </c>
      <c r="I243" s="2">
        <f>0+0+0+2+0</f>
        <v>2</v>
      </c>
      <c r="K243" s="18">
        <f t="shared" si="33"/>
        <v>42</v>
      </c>
    </row>
    <row r="244" spans="1:11" ht="12.75">
      <c r="A244" s="14" t="s">
        <v>1056</v>
      </c>
      <c r="B244" s="15" t="s">
        <v>690</v>
      </c>
      <c r="C244" s="2">
        <v>6</v>
      </c>
      <c r="E244" s="2">
        <f>24+22+26+26+15+2</f>
        <v>115</v>
      </c>
      <c r="G244" s="2">
        <f>20+33+83+64-15-2</f>
        <v>183</v>
      </c>
      <c r="H244" s="17">
        <f t="shared" si="32"/>
        <v>1.5913043478260869</v>
      </c>
      <c r="I244" s="2">
        <f>1+0+1+1+0+0</f>
        <v>3</v>
      </c>
      <c r="K244" s="18">
        <f t="shared" si="33"/>
        <v>30.5</v>
      </c>
    </row>
    <row r="245" spans="1:11" ht="12.75">
      <c r="A245" s="14" t="s">
        <v>1991</v>
      </c>
      <c r="B245" s="15" t="s">
        <v>871</v>
      </c>
      <c r="C245" s="2">
        <v>2</v>
      </c>
      <c r="E245" s="2">
        <f>2+32</f>
        <v>34</v>
      </c>
      <c r="G245" s="2">
        <f>0+181</f>
        <v>181</v>
      </c>
      <c r="H245" s="17">
        <f t="shared" si="32"/>
        <v>5.323529411764706</v>
      </c>
      <c r="I245" s="2">
        <f>0+3</f>
        <v>3</v>
      </c>
      <c r="K245" s="18">
        <f t="shared" si="33"/>
        <v>90.5</v>
      </c>
    </row>
    <row r="246" spans="1:11" ht="12.75">
      <c r="A246" s="14" t="s">
        <v>253</v>
      </c>
      <c r="B246" s="15" t="s">
        <v>750</v>
      </c>
      <c r="C246" s="2">
        <v>3</v>
      </c>
      <c r="E246" s="2">
        <f>27+22+41</f>
        <v>90</v>
      </c>
      <c r="G246" s="2">
        <f>0+45+136</f>
        <v>181</v>
      </c>
      <c r="H246" s="17">
        <f t="shared" si="32"/>
        <v>2.011111111111111</v>
      </c>
      <c r="I246" s="2">
        <f>0+0+2</f>
        <v>2</v>
      </c>
      <c r="K246" s="18">
        <f t="shared" si="33"/>
        <v>60.333333333333336</v>
      </c>
    </row>
    <row r="247" spans="1:11" ht="12.75">
      <c r="A247" s="14" t="s">
        <v>1157</v>
      </c>
      <c r="B247" s="15" t="s">
        <v>933</v>
      </c>
      <c r="C247" s="2">
        <v>5</v>
      </c>
      <c r="E247" s="2">
        <f>7+5+8+18+26</f>
        <v>64</v>
      </c>
      <c r="G247" s="2">
        <f>15+6+25+52+82</f>
        <v>180</v>
      </c>
      <c r="H247" s="17">
        <f t="shared" si="32"/>
        <v>2.8125</v>
      </c>
      <c r="I247" s="2">
        <f>0+1+0+1+2</f>
        <v>4</v>
      </c>
      <c r="K247" s="18">
        <f t="shared" si="33"/>
        <v>36</v>
      </c>
    </row>
    <row r="248" spans="1:11" ht="12.75">
      <c r="A248" s="14" t="s">
        <v>1138</v>
      </c>
      <c r="B248" s="15" t="s">
        <v>945</v>
      </c>
      <c r="C248" s="2">
        <v>4</v>
      </c>
      <c r="E248" s="2">
        <f>16+28+31+11</f>
        <v>86</v>
      </c>
      <c r="G248" s="2">
        <f>53+56+58+12</f>
        <v>179</v>
      </c>
      <c r="H248" s="17">
        <f t="shared" si="32"/>
        <v>2.0813953488372094</v>
      </c>
      <c r="I248" s="2">
        <f>1+1+3+2</f>
        <v>7</v>
      </c>
      <c r="K248" s="18">
        <f t="shared" si="33"/>
        <v>44.75</v>
      </c>
    </row>
    <row r="249" spans="1:11" ht="12.75">
      <c r="A249" s="14" t="s">
        <v>70</v>
      </c>
      <c r="B249" s="15" t="s">
        <v>69</v>
      </c>
      <c r="C249" s="2">
        <v>1</v>
      </c>
      <c r="E249" s="2">
        <f>46</f>
        <v>46</v>
      </c>
      <c r="G249" s="2">
        <f>171</f>
        <v>171</v>
      </c>
      <c r="H249" s="17">
        <f t="shared" si="32"/>
        <v>3.717391304347826</v>
      </c>
      <c r="I249" s="2">
        <f>0</f>
        <v>0</v>
      </c>
      <c r="K249" s="18">
        <f t="shared" si="33"/>
        <v>171</v>
      </c>
    </row>
    <row r="250" spans="1:11" ht="12.75">
      <c r="A250" s="14" t="s">
        <v>1031</v>
      </c>
      <c r="B250" s="15" t="s">
        <v>638</v>
      </c>
      <c r="C250" s="2">
        <v>7</v>
      </c>
      <c r="E250" s="2">
        <f>30+19+8+18+11+9+19</f>
        <v>114</v>
      </c>
      <c r="G250" s="2">
        <f>98+24+15+27+3-6+10</f>
        <v>171</v>
      </c>
      <c r="H250" s="17">
        <f t="shared" si="32"/>
        <v>1.5</v>
      </c>
      <c r="I250" s="2">
        <f>1+0+0+0+0+0+0</f>
        <v>1</v>
      </c>
      <c r="K250" s="18">
        <f t="shared" si="33"/>
        <v>24.428571428571427</v>
      </c>
    </row>
    <row r="251" spans="1:11" ht="12.75">
      <c r="A251" s="14" t="s">
        <v>693</v>
      </c>
      <c r="B251" s="15" t="s">
        <v>694</v>
      </c>
      <c r="C251" s="2">
        <v>1</v>
      </c>
      <c r="E251" s="2">
        <f>60</f>
        <v>60</v>
      </c>
      <c r="G251" s="2">
        <f>170</f>
        <v>170</v>
      </c>
      <c r="H251" s="17">
        <f t="shared" si="32"/>
        <v>2.8333333333333335</v>
      </c>
      <c r="I251" s="2">
        <f>0</f>
        <v>0</v>
      </c>
      <c r="K251" s="18">
        <f t="shared" si="33"/>
        <v>170</v>
      </c>
    </row>
    <row r="252" spans="1:11" ht="12.75">
      <c r="A252" s="14" t="s">
        <v>68</v>
      </c>
      <c r="B252" s="15" t="s">
        <v>69</v>
      </c>
      <c r="C252" s="2">
        <v>1</v>
      </c>
      <c r="E252" s="2">
        <f>56</f>
        <v>56</v>
      </c>
      <c r="G252" s="2">
        <f>166</f>
        <v>166</v>
      </c>
      <c r="H252" s="17">
        <f t="shared" si="32"/>
        <v>2.9642857142857144</v>
      </c>
      <c r="I252" s="2">
        <f>4</f>
        <v>4</v>
      </c>
      <c r="K252" s="18">
        <f t="shared" si="33"/>
        <v>166</v>
      </c>
    </row>
    <row r="253" spans="1:11" ht="12.75">
      <c r="A253" s="14" t="s">
        <v>744</v>
      </c>
      <c r="B253" s="15" t="s">
        <v>745</v>
      </c>
      <c r="C253" s="2">
        <v>1</v>
      </c>
      <c r="E253" s="2">
        <f>51</f>
        <v>51</v>
      </c>
      <c r="G253" s="2">
        <f>163</f>
        <v>163</v>
      </c>
      <c r="H253" s="17">
        <f t="shared" si="32"/>
        <v>3.196078431372549</v>
      </c>
      <c r="I253" s="2">
        <f>3</f>
        <v>3</v>
      </c>
      <c r="K253" s="18">
        <f t="shared" si="33"/>
        <v>163</v>
      </c>
    </row>
    <row r="254" spans="1:11" ht="12.75">
      <c r="A254" s="14" t="s">
        <v>10</v>
      </c>
      <c r="B254" s="15" t="s">
        <v>871</v>
      </c>
      <c r="C254" s="2">
        <v>2</v>
      </c>
      <c r="E254" s="2">
        <f>1+27</f>
        <v>28</v>
      </c>
      <c r="G254" s="2">
        <f>0+158</f>
        <v>158</v>
      </c>
      <c r="H254" s="17">
        <f t="shared" si="32"/>
        <v>5.642857142857143</v>
      </c>
      <c r="I254" s="2">
        <f>0+0</f>
        <v>0</v>
      </c>
      <c r="K254" s="18">
        <f t="shared" si="33"/>
        <v>79</v>
      </c>
    </row>
    <row r="255" spans="1:11" ht="12.75">
      <c r="A255" s="15" t="s">
        <v>1027</v>
      </c>
      <c r="B255" s="15" t="s">
        <v>15</v>
      </c>
      <c r="C255" s="2">
        <v>3</v>
      </c>
      <c r="E255" s="2">
        <f>36+30+24</f>
        <v>90</v>
      </c>
      <c r="G255" s="2">
        <f>30+49+79</f>
        <v>158</v>
      </c>
      <c r="H255" s="17">
        <f t="shared" si="32"/>
        <v>1.7555555555555555</v>
      </c>
      <c r="I255" s="2">
        <f>1+1+4</f>
        <v>6</v>
      </c>
      <c r="K255" s="18">
        <f t="shared" si="33"/>
        <v>52.666666666666664</v>
      </c>
    </row>
    <row r="256" spans="1:11" ht="12.75">
      <c r="A256" s="14" t="s">
        <v>2000</v>
      </c>
      <c r="B256" s="15" t="s">
        <v>1552</v>
      </c>
      <c r="C256" s="2">
        <v>1</v>
      </c>
      <c r="E256" s="2">
        <f>42</f>
        <v>42</v>
      </c>
      <c r="G256" s="2">
        <f>154</f>
        <v>154</v>
      </c>
      <c r="H256" s="17">
        <f t="shared" si="32"/>
        <v>3.6666666666666665</v>
      </c>
      <c r="I256" s="2">
        <f>0</f>
        <v>0</v>
      </c>
      <c r="K256" s="18">
        <f t="shared" si="33"/>
        <v>154</v>
      </c>
    </row>
    <row r="257" spans="1:11" ht="12.75">
      <c r="A257" s="14" t="s">
        <v>1912</v>
      </c>
      <c r="B257" s="15" t="s">
        <v>1909</v>
      </c>
      <c r="C257" s="2">
        <v>1</v>
      </c>
      <c r="E257" s="2">
        <v>40</v>
      </c>
      <c r="G257" s="2">
        <v>148</v>
      </c>
      <c r="H257" s="17">
        <f t="shared" si="32"/>
        <v>3.7</v>
      </c>
      <c r="I257" s="2">
        <v>0</v>
      </c>
      <c r="K257" s="18">
        <f t="shared" si="33"/>
        <v>148</v>
      </c>
    </row>
    <row r="258" spans="1:11" ht="12.75">
      <c r="A258" s="14" t="s">
        <v>1029</v>
      </c>
      <c r="B258" s="15" t="s">
        <v>1537</v>
      </c>
      <c r="C258" s="2">
        <v>6</v>
      </c>
      <c r="E258" s="2">
        <f>13+21+4+32+40+16</f>
        <v>126</v>
      </c>
      <c r="G258" s="2">
        <f>-9+41+2-14+108+20</f>
        <v>148</v>
      </c>
      <c r="H258" s="17">
        <f t="shared" si="32"/>
        <v>1.1746031746031746</v>
      </c>
      <c r="I258" s="2">
        <f>0+0+0+1+0+0</f>
        <v>1</v>
      </c>
      <c r="K258" s="18">
        <f t="shared" si="33"/>
        <v>24.666666666666668</v>
      </c>
    </row>
    <row r="259" spans="1:11" ht="12.75">
      <c r="A259" s="14" t="s">
        <v>1158</v>
      </c>
      <c r="B259" s="15" t="s">
        <v>1840</v>
      </c>
      <c r="C259" s="2">
        <v>2</v>
      </c>
      <c r="E259" s="2">
        <f>4+38</f>
        <v>42</v>
      </c>
      <c r="G259" s="2">
        <f>14+132</f>
        <v>146</v>
      </c>
      <c r="H259" s="17">
        <f t="shared" si="32"/>
        <v>3.4761904761904763</v>
      </c>
      <c r="I259" s="2">
        <f>1+0</f>
        <v>1</v>
      </c>
      <c r="K259" s="18">
        <f t="shared" si="33"/>
        <v>73</v>
      </c>
    </row>
    <row r="260" spans="1:11" ht="12.75">
      <c r="A260" s="14" t="s">
        <v>102</v>
      </c>
      <c r="B260" s="15" t="s">
        <v>98</v>
      </c>
      <c r="C260" s="2">
        <v>1</v>
      </c>
      <c r="E260" s="2">
        <f>46</f>
        <v>46</v>
      </c>
      <c r="G260" s="2">
        <f>140</f>
        <v>140</v>
      </c>
      <c r="H260" s="17">
        <f t="shared" si="32"/>
        <v>3.0434782608695654</v>
      </c>
      <c r="I260" s="2">
        <f>5</f>
        <v>5</v>
      </c>
      <c r="K260" s="18">
        <f t="shared" si="33"/>
        <v>140</v>
      </c>
    </row>
    <row r="261" spans="1:11" ht="12.75">
      <c r="A261" s="14" t="s">
        <v>262</v>
      </c>
      <c r="B261" s="15" t="s">
        <v>259</v>
      </c>
      <c r="C261" s="2">
        <v>1</v>
      </c>
      <c r="E261" s="2">
        <f>64</f>
        <v>64</v>
      </c>
      <c r="G261" s="2">
        <f>126</f>
        <v>126</v>
      </c>
      <c r="H261" s="17">
        <f t="shared" si="32"/>
        <v>1.96875</v>
      </c>
      <c r="I261" s="2">
        <f>4</f>
        <v>4</v>
      </c>
      <c r="K261" s="18">
        <f t="shared" si="33"/>
        <v>126</v>
      </c>
    </row>
    <row r="262" spans="1:11" ht="12.75">
      <c r="A262" s="14" t="s">
        <v>997</v>
      </c>
      <c r="B262" s="15" t="s">
        <v>1249</v>
      </c>
      <c r="C262" s="2">
        <v>7</v>
      </c>
      <c r="E262" s="2">
        <f>29+22+33+2+35+18+24</f>
        <v>163</v>
      </c>
      <c r="G262" s="2">
        <f>33+13+20+12+18-8+38</f>
        <v>126</v>
      </c>
      <c r="H262" s="17">
        <f t="shared" si="32"/>
        <v>0.7730061349693251</v>
      </c>
      <c r="I262" s="2">
        <f>2+1+0+0+3+3</f>
        <v>9</v>
      </c>
      <c r="K262" s="18">
        <f t="shared" si="33"/>
        <v>18</v>
      </c>
    </row>
    <row r="263" spans="1:11" ht="12.75">
      <c r="A263" s="14" t="s">
        <v>479</v>
      </c>
      <c r="B263" s="15" t="s">
        <v>911</v>
      </c>
      <c r="C263" s="2">
        <v>3</v>
      </c>
      <c r="E263" s="2">
        <f>2+25+37</f>
        <v>64</v>
      </c>
      <c r="G263" s="2">
        <f>-2+28+99</f>
        <v>125</v>
      </c>
      <c r="H263" s="17">
        <f t="shared" si="32"/>
        <v>1.953125</v>
      </c>
      <c r="I263" s="2">
        <f>0+2+1</f>
        <v>3</v>
      </c>
      <c r="K263" s="18">
        <f t="shared" si="33"/>
        <v>41.666666666666664</v>
      </c>
    </row>
    <row r="264" spans="1:11" ht="12.75">
      <c r="A264" s="14" t="s">
        <v>1144</v>
      </c>
      <c r="B264" s="15" t="s">
        <v>1967</v>
      </c>
      <c r="C264" s="2">
        <v>3</v>
      </c>
      <c r="E264" s="2">
        <f>13+9+10</f>
        <v>32</v>
      </c>
      <c r="G264" s="2">
        <f>35+48+37</f>
        <v>120</v>
      </c>
      <c r="H264" s="17">
        <f t="shared" si="32"/>
        <v>3.75</v>
      </c>
      <c r="I264" s="2">
        <f>2+1+1</f>
        <v>4</v>
      </c>
      <c r="K264" s="18">
        <f t="shared" si="33"/>
        <v>40</v>
      </c>
    </row>
    <row r="265" spans="1:11" ht="12.75">
      <c r="A265" s="14" t="s">
        <v>2020</v>
      </c>
      <c r="B265" s="15" t="s">
        <v>695</v>
      </c>
      <c r="C265" s="2">
        <v>2</v>
      </c>
      <c r="E265" s="2">
        <f>7+26</f>
        <v>33</v>
      </c>
      <c r="G265" s="2">
        <f>27+89</f>
        <v>116</v>
      </c>
      <c r="H265" s="17">
        <f t="shared" si="32"/>
        <v>3.515151515151515</v>
      </c>
      <c r="I265" s="2">
        <f>0+2</f>
        <v>2</v>
      </c>
      <c r="K265" s="18">
        <f t="shared" si="33"/>
        <v>58</v>
      </c>
    </row>
    <row r="266" spans="1:11" ht="12.75">
      <c r="A266" s="14" t="s">
        <v>1164</v>
      </c>
      <c r="B266" s="15" t="s">
        <v>2011</v>
      </c>
      <c r="C266" s="2">
        <v>3</v>
      </c>
      <c r="E266" s="2">
        <f>1+29+12</f>
        <v>42</v>
      </c>
      <c r="G266" s="2">
        <f>6+73+35</f>
        <v>114</v>
      </c>
      <c r="H266" s="17">
        <f t="shared" si="32"/>
        <v>2.7142857142857144</v>
      </c>
      <c r="I266" s="2">
        <f>0+4+3</f>
        <v>7</v>
      </c>
      <c r="K266" s="18">
        <f t="shared" si="33"/>
        <v>38</v>
      </c>
    </row>
    <row r="267" spans="1:11" ht="12.75">
      <c r="A267" s="14" t="s">
        <v>544</v>
      </c>
      <c r="B267" s="15" t="s">
        <v>545</v>
      </c>
      <c r="C267" s="2">
        <v>1</v>
      </c>
      <c r="E267" s="2">
        <f>27</f>
        <v>27</v>
      </c>
      <c r="G267" s="2">
        <f>113</f>
        <v>113</v>
      </c>
      <c r="H267" s="17">
        <f t="shared" si="32"/>
        <v>4.185185185185185</v>
      </c>
      <c r="I267" s="2">
        <f>0</f>
        <v>0</v>
      </c>
      <c r="K267" s="18">
        <f t="shared" si="33"/>
        <v>113</v>
      </c>
    </row>
    <row r="268" spans="1:11" ht="12.75">
      <c r="A268" s="14" t="s">
        <v>728</v>
      </c>
      <c r="B268" s="15" t="s">
        <v>55</v>
      </c>
      <c r="C268" s="2">
        <v>2</v>
      </c>
      <c r="E268" s="2">
        <f>6+11</f>
        <v>17</v>
      </c>
      <c r="G268" s="2">
        <f>14+99</f>
        <v>113</v>
      </c>
      <c r="H268" s="17">
        <f t="shared" si="32"/>
        <v>6.647058823529412</v>
      </c>
      <c r="I268" s="2">
        <f>1+1</f>
        <v>2</v>
      </c>
      <c r="K268" s="18">
        <f t="shared" si="33"/>
        <v>56.5</v>
      </c>
    </row>
    <row r="269" spans="1:11" ht="12.75">
      <c r="A269" s="14" t="s">
        <v>1066</v>
      </c>
      <c r="B269" s="15" t="s">
        <v>870</v>
      </c>
      <c r="C269" s="2">
        <v>5</v>
      </c>
      <c r="E269" s="2">
        <f>35+28+23+32+5</f>
        <v>123</v>
      </c>
      <c r="G269" s="2">
        <f>65+20+10+18+0</f>
        <v>113</v>
      </c>
      <c r="H269" s="17">
        <f t="shared" si="32"/>
        <v>0.9186991869918699</v>
      </c>
      <c r="I269" s="2">
        <f>2+1+2+3+1</f>
        <v>9</v>
      </c>
      <c r="K269" s="18">
        <f t="shared" si="33"/>
        <v>22.6</v>
      </c>
    </row>
    <row r="270" spans="1:11" ht="12.75">
      <c r="A270" s="14" t="s">
        <v>1072</v>
      </c>
      <c r="B270" s="15" t="s">
        <v>677</v>
      </c>
      <c r="C270" s="2">
        <v>5</v>
      </c>
      <c r="E270" s="2">
        <f>39+23+29+36+20</f>
        <v>147</v>
      </c>
      <c r="G270" s="2">
        <f>45+26+1+41-2</f>
        <v>111</v>
      </c>
      <c r="H270" s="17">
        <f t="shared" si="32"/>
        <v>0.7551020408163265</v>
      </c>
      <c r="I270" s="2">
        <f>1+0+0+4+2</f>
        <v>7</v>
      </c>
      <c r="K270" s="18">
        <f t="shared" si="33"/>
        <v>22.2</v>
      </c>
    </row>
    <row r="271" spans="1:11" ht="12.75">
      <c r="A271" s="14" t="s">
        <v>1200</v>
      </c>
      <c r="B271" s="15" t="s">
        <v>691</v>
      </c>
      <c r="C271" s="2">
        <v>7</v>
      </c>
      <c r="E271" s="2">
        <f>8+53+17+24+7+17+7</f>
        <v>133</v>
      </c>
      <c r="G271" s="2">
        <f>46+138-15-15-1-43+0</f>
        <v>110</v>
      </c>
      <c r="H271" s="17">
        <f t="shared" si="32"/>
        <v>0.8270676691729323</v>
      </c>
      <c r="I271" s="2">
        <f>0+2+0+0+0+0+0</f>
        <v>2</v>
      </c>
      <c r="K271" s="18">
        <f t="shared" si="33"/>
        <v>15.714285714285714</v>
      </c>
    </row>
    <row r="272" spans="1:11" ht="12.75">
      <c r="A272" s="14" t="s">
        <v>53</v>
      </c>
      <c r="B272" s="15" t="s">
        <v>54</v>
      </c>
      <c r="C272" s="2">
        <v>1</v>
      </c>
      <c r="E272" s="2">
        <f>26</f>
        <v>26</v>
      </c>
      <c r="G272" s="2">
        <f>104</f>
        <v>104</v>
      </c>
      <c r="H272" s="17">
        <f t="shared" si="32"/>
        <v>4</v>
      </c>
      <c r="I272" s="2">
        <f>1</f>
        <v>1</v>
      </c>
      <c r="K272" s="18">
        <f t="shared" si="33"/>
        <v>104</v>
      </c>
    </row>
    <row r="273" spans="1:11" ht="12.75">
      <c r="A273" s="14" t="s">
        <v>1712</v>
      </c>
      <c r="B273" s="15" t="s">
        <v>1711</v>
      </c>
      <c r="C273" s="2">
        <v>1</v>
      </c>
      <c r="E273" s="2">
        <v>42</v>
      </c>
      <c r="G273" s="2">
        <v>102</v>
      </c>
      <c r="H273" s="17">
        <f t="shared" si="32"/>
        <v>2.4285714285714284</v>
      </c>
      <c r="I273" s="2">
        <v>2</v>
      </c>
      <c r="K273" s="18">
        <f t="shared" si="33"/>
        <v>102</v>
      </c>
    </row>
    <row r="274" spans="1:11" ht="12.75">
      <c r="A274" s="14" t="s">
        <v>408</v>
      </c>
      <c r="B274" s="15" t="s">
        <v>294</v>
      </c>
      <c r="C274" s="2">
        <v>2</v>
      </c>
      <c r="E274" s="2">
        <f>28+30</f>
        <v>58</v>
      </c>
      <c r="G274" s="2">
        <f>56+46</f>
        <v>102</v>
      </c>
      <c r="H274" s="17">
        <f t="shared" si="32"/>
        <v>1.7586206896551724</v>
      </c>
      <c r="I274" s="2">
        <f>0+0</f>
        <v>0</v>
      </c>
      <c r="K274" s="18">
        <f t="shared" si="33"/>
        <v>51</v>
      </c>
    </row>
    <row r="275" spans="1:11" ht="12.75">
      <c r="A275" s="14" t="s">
        <v>1046</v>
      </c>
      <c r="B275" s="15" t="s">
        <v>470</v>
      </c>
      <c r="C275" s="2">
        <v>3</v>
      </c>
      <c r="E275" s="2">
        <f>26+25+26</f>
        <v>77</v>
      </c>
      <c r="G275" s="2">
        <f>-9+101+10</f>
        <v>102</v>
      </c>
      <c r="H275" s="17">
        <f t="shared" si="32"/>
        <v>1.3246753246753247</v>
      </c>
      <c r="I275" s="2">
        <f>0+5+3</f>
        <v>8</v>
      </c>
      <c r="K275" s="18">
        <f t="shared" si="33"/>
        <v>34</v>
      </c>
    </row>
    <row r="276" spans="1:11" ht="12.75">
      <c r="A276" s="14" t="s">
        <v>1160</v>
      </c>
      <c r="B276" s="15" t="s">
        <v>512</v>
      </c>
      <c r="C276" s="2">
        <v>2</v>
      </c>
      <c r="E276" s="2">
        <f>5+34</f>
        <v>39</v>
      </c>
      <c r="G276" s="2">
        <f>11+90</f>
        <v>101</v>
      </c>
      <c r="H276" s="17">
        <f t="shared" si="32"/>
        <v>2.58974358974359</v>
      </c>
      <c r="I276" s="2">
        <f>0+2</f>
        <v>2</v>
      </c>
      <c r="K276" s="18">
        <f t="shared" si="33"/>
        <v>50.5</v>
      </c>
    </row>
    <row r="277" spans="1:11" ht="12.75">
      <c r="A277" s="14" t="s">
        <v>1139</v>
      </c>
      <c r="B277" s="15" t="s">
        <v>1751</v>
      </c>
      <c r="C277" s="2">
        <v>2</v>
      </c>
      <c r="E277" s="2">
        <f>13+11</f>
        <v>24</v>
      </c>
      <c r="G277" s="2">
        <f>51+47</f>
        <v>98</v>
      </c>
      <c r="H277" s="17">
        <f t="shared" si="32"/>
        <v>4.083333333333333</v>
      </c>
      <c r="I277" s="2">
        <f>1+0</f>
        <v>1</v>
      </c>
      <c r="K277" s="18">
        <f t="shared" si="33"/>
        <v>49</v>
      </c>
    </row>
    <row r="278" spans="1:11" ht="12.75">
      <c r="A278" s="14" t="s">
        <v>1175</v>
      </c>
      <c r="B278" s="15" t="s">
        <v>505</v>
      </c>
      <c r="C278" s="2">
        <v>3</v>
      </c>
      <c r="E278" s="2">
        <f>1+1+36</f>
        <v>38</v>
      </c>
      <c r="G278" s="2">
        <f>0+4+94</f>
        <v>98</v>
      </c>
      <c r="H278" s="17">
        <f t="shared" si="32"/>
        <v>2.5789473684210527</v>
      </c>
      <c r="I278" s="2">
        <f>0+0+4</f>
        <v>4</v>
      </c>
      <c r="K278" s="18">
        <f t="shared" si="33"/>
        <v>32.666666666666664</v>
      </c>
    </row>
    <row r="279" spans="1:11" ht="12.75">
      <c r="A279" s="14" t="s">
        <v>1133</v>
      </c>
      <c r="B279" s="15" t="s">
        <v>1772</v>
      </c>
      <c r="C279" s="2">
        <v>2</v>
      </c>
      <c r="E279" s="2">
        <f>19+1</f>
        <v>20</v>
      </c>
      <c r="G279" s="2">
        <f>97+0</f>
        <v>97</v>
      </c>
      <c r="H279" s="17">
        <f t="shared" si="32"/>
        <v>4.85</v>
      </c>
      <c r="I279" s="2">
        <f>1+0</f>
        <v>1</v>
      </c>
      <c r="K279" s="18">
        <f t="shared" si="33"/>
        <v>48.5</v>
      </c>
    </row>
    <row r="280" spans="1:11" ht="12.75">
      <c r="A280" s="14" t="s">
        <v>396</v>
      </c>
      <c r="B280" s="15" t="s">
        <v>738</v>
      </c>
      <c r="C280" s="2">
        <v>2</v>
      </c>
      <c r="E280" s="2">
        <f>40+1</f>
        <v>41</v>
      </c>
      <c r="G280" s="2">
        <f>98-1</f>
        <v>97</v>
      </c>
      <c r="H280" s="17">
        <f t="shared" si="32"/>
        <v>2.3658536585365852</v>
      </c>
      <c r="I280" s="2">
        <f>3+0</f>
        <v>3</v>
      </c>
      <c r="K280" s="18">
        <f t="shared" si="33"/>
        <v>48.5</v>
      </c>
    </row>
    <row r="281" spans="1:11" ht="12.75">
      <c r="A281" s="14" t="s">
        <v>386</v>
      </c>
      <c r="B281" s="15" t="s">
        <v>1252</v>
      </c>
      <c r="C281" s="2">
        <v>3</v>
      </c>
      <c r="E281" s="2">
        <f>39+1+2</f>
        <v>42</v>
      </c>
      <c r="G281" s="2">
        <f>92+5+0</f>
        <v>97</v>
      </c>
      <c r="H281" s="17">
        <f t="shared" si="32"/>
        <v>2.3095238095238093</v>
      </c>
      <c r="I281" s="2">
        <f>2+1+1</f>
        <v>4</v>
      </c>
      <c r="K281" s="18">
        <f t="shared" si="33"/>
        <v>32.333333333333336</v>
      </c>
    </row>
    <row r="282" spans="1:11" ht="12.75">
      <c r="A282" s="14" t="s">
        <v>1163</v>
      </c>
      <c r="B282" s="15" t="s">
        <v>1784</v>
      </c>
      <c r="C282" s="2">
        <v>2</v>
      </c>
      <c r="E282" s="2">
        <f>1+17</f>
        <v>18</v>
      </c>
      <c r="G282" s="2">
        <f>6+88</f>
        <v>94</v>
      </c>
      <c r="H282" s="17">
        <f t="shared" si="32"/>
        <v>5.222222222222222</v>
      </c>
      <c r="I282" s="2">
        <f>0+0</f>
        <v>0</v>
      </c>
      <c r="K282" s="18">
        <f t="shared" si="33"/>
        <v>47</v>
      </c>
    </row>
    <row r="283" spans="1:11" ht="12.75">
      <c r="A283" s="14" t="s">
        <v>594</v>
      </c>
      <c r="B283" s="15" t="s">
        <v>592</v>
      </c>
      <c r="C283" s="2">
        <v>1</v>
      </c>
      <c r="E283" s="2">
        <f>12</f>
        <v>12</v>
      </c>
      <c r="G283" s="2">
        <f>92</f>
        <v>92</v>
      </c>
      <c r="H283" s="17">
        <f t="shared" si="32"/>
        <v>7.666666666666667</v>
      </c>
      <c r="I283" s="2">
        <f>0</f>
        <v>0</v>
      </c>
      <c r="K283" s="18">
        <f t="shared" si="33"/>
        <v>92</v>
      </c>
    </row>
    <row r="284" spans="1:11" ht="12.75">
      <c r="A284" s="14" t="s">
        <v>1059</v>
      </c>
      <c r="B284" s="15" t="s">
        <v>2002</v>
      </c>
      <c r="C284" s="2">
        <v>3</v>
      </c>
      <c r="E284" s="2">
        <f>10+4+32</f>
        <v>46</v>
      </c>
      <c r="G284" s="2">
        <f>16+8+67</f>
        <v>91</v>
      </c>
      <c r="H284" s="17">
        <f t="shared" si="32"/>
        <v>1.9782608695652173</v>
      </c>
      <c r="I284" s="2">
        <f>0+1+1</f>
        <v>2</v>
      </c>
      <c r="K284" s="18">
        <f t="shared" si="33"/>
        <v>30.333333333333332</v>
      </c>
    </row>
    <row r="285" spans="1:11" ht="12.75">
      <c r="A285" s="14" t="s">
        <v>1140</v>
      </c>
      <c r="B285" s="15" t="s">
        <v>770</v>
      </c>
      <c r="C285" s="2">
        <v>5</v>
      </c>
      <c r="E285" s="2">
        <f>23+10+5+5+4</f>
        <v>47</v>
      </c>
      <c r="G285" s="2">
        <f>44+11+17+14+5</f>
        <v>91</v>
      </c>
      <c r="H285" s="17">
        <f t="shared" si="32"/>
        <v>1.9361702127659575</v>
      </c>
      <c r="I285" s="2">
        <f>2+1+2+1+2</f>
        <v>8</v>
      </c>
      <c r="K285" s="18">
        <f t="shared" si="33"/>
        <v>18.2</v>
      </c>
    </row>
    <row r="286" spans="1:11" ht="12.75">
      <c r="A286" s="14" t="s">
        <v>1982</v>
      </c>
      <c r="B286" s="15" t="s">
        <v>1983</v>
      </c>
      <c r="C286" s="2">
        <v>1</v>
      </c>
      <c r="E286" s="2">
        <v>43</v>
      </c>
      <c r="G286" s="2">
        <v>89</v>
      </c>
      <c r="H286" s="17">
        <f t="shared" si="32"/>
        <v>2.0697674418604652</v>
      </c>
      <c r="I286" s="2">
        <v>1</v>
      </c>
      <c r="K286" s="18">
        <f t="shared" si="33"/>
        <v>89</v>
      </c>
    </row>
    <row r="287" spans="1:11" ht="12.75">
      <c r="A287" s="14" t="s">
        <v>71</v>
      </c>
      <c r="B287" s="15" t="s">
        <v>69</v>
      </c>
      <c r="C287" s="2">
        <v>1</v>
      </c>
      <c r="E287" s="2">
        <f>23</f>
        <v>23</v>
      </c>
      <c r="G287" s="2">
        <f>87</f>
        <v>87</v>
      </c>
      <c r="H287" s="17">
        <f t="shared" si="32"/>
        <v>3.782608695652174</v>
      </c>
      <c r="I287" s="2">
        <f>2</f>
        <v>2</v>
      </c>
      <c r="K287" s="18">
        <f t="shared" si="33"/>
        <v>87</v>
      </c>
    </row>
    <row r="288" spans="1:11" ht="12.75">
      <c r="A288" s="14" t="s">
        <v>858</v>
      </c>
      <c r="B288" s="15" t="s">
        <v>859</v>
      </c>
      <c r="C288" s="2">
        <v>1</v>
      </c>
      <c r="E288" s="2">
        <f>38</f>
        <v>38</v>
      </c>
      <c r="G288" s="2">
        <f>87</f>
        <v>87</v>
      </c>
      <c r="H288" s="17">
        <f t="shared" si="32"/>
        <v>2.289473684210526</v>
      </c>
      <c r="I288" s="2">
        <f>5</f>
        <v>5</v>
      </c>
      <c r="K288" s="18">
        <f t="shared" si="33"/>
        <v>87</v>
      </c>
    </row>
    <row r="289" spans="1:11" ht="12.75">
      <c r="A289" s="14" t="s">
        <v>1011</v>
      </c>
      <c r="B289" s="15" t="s">
        <v>1013</v>
      </c>
      <c r="C289" s="2">
        <v>1</v>
      </c>
      <c r="E289" s="2">
        <v>41</v>
      </c>
      <c r="G289" s="2">
        <v>87</v>
      </c>
      <c r="H289" s="17">
        <f t="shared" si="32"/>
        <v>2.1219512195121952</v>
      </c>
      <c r="I289" s="2">
        <v>5</v>
      </c>
      <c r="K289" s="18">
        <f t="shared" si="33"/>
        <v>87</v>
      </c>
    </row>
    <row r="290" spans="1:11" ht="12.75">
      <c r="A290" s="14" t="s">
        <v>1720</v>
      </c>
      <c r="B290" s="15" t="s">
        <v>2009</v>
      </c>
      <c r="C290" s="2">
        <v>2</v>
      </c>
      <c r="E290" s="2">
        <f>13+3</f>
        <v>16</v>
      </c>
      <c r="G290" s="2">
        <f>85+2</f>
        <v>87</v>
      </c>
      <c r="H290" s="17">
        <f t="shared" si="32"/>
        <v>5.4375</v>
      </c>
      <c r="I290" s="2">
        <f>1+0</f>
        <v>1</v>
      </c>
      <c r="K290" s="18">
        <f t="shared" si="33"/>
        <v>43.5</v>
      </c>
    </row>
    <row r="291" spans="1:11" ht="12.75">
      <c r="A291" s="14" t="s">
        <v>1078</v>
      </c>
      <c r="B291" s="15" t="s">
        <v>382</v>
      </c>
      <c r="C291" s="2">
        <v>4</v>
      </c>
      <c r="E291" s="2">
        <f>2+3+44+24</f>
        <v>73</v>
      </c>
      <c r="G291" s="2">
        <f>11+7+60+9</f>
        <v>87</v>
      </c>
      <c r="H291" s="17">
        <f t="shared" si="32"/>
        <v>1.1917808219178083</v>
      </c>
      <c r="I291" s="2">
        <f>0+0+4+0</f>
        <v>4</v>
      </c>
      <c r="K291" s="18">
        <f t="shared" si="33"/>
        <v>21.75</v>
      </c>
    </row>
    <row r="292" spans="1:11" ht="12.75">
      <c r="A292" s="14" t="s">
        <v>1135</v>
      </c>
      <c r="B292" s="15" t="s">
        <v>1017</v>
      </c>
      <c r="C292" s="2">
        <v>1</v>
      </c>
      <c r="E292" s="2">
        <v>12</v>
      </c>
      <c r="G292" s="2">
        <v>85</v>
      </c>
      <c r="H292" s="17">
        <f t="shared" si="32"/>
        <v>7.083333333333333</v>
      </c>
      <c r="I292" s="2">
        <v>1</v>
      </c>
      <c r="K292" s="18">
        <f t="shared" si="33"/>
        <v>85</v>
      </c>
    </row>
    <row r="293" spans="1:11" ht="12.75">
      <c r="A293" s="14" t="s">
        <v>1136</v>
      </c>
      <c r="B293" s="15" t="s">
        <v>1082</v>
      </c>
      <c r="C293" s="2">
        <v>1</v>
      </c>
      <c r="E293" s="2">
        <v>21</v>
      </c>
      <c r="G293" s="2">
        <v>84</v>
      </c>
      <c r="H293" s="17">
        <f t="shared" si="32"/>
        <v>4</v>
      </c>
      <c r="I293" s="2">
        <v>1</v>
      </c>
      <c r="K293" s="18">
        <f t="shared" si="33"/>
        <v>84</v>
      </c>
    </row>
    <row r="294" spans="1:11" ht="12.75">
      <c r="A294" s="14" t="s">
        <v>1075</v>
      </c>
      <c r="B294" s="15" t="s">
        <v>1999</v>
      </c>
      <c r="C294" s="2">
        <v>3</v>
      </c>
      <c r="E294" s="2">
        <f>2+38+24</f>
        <v>64</v>
      </c>
      <c r="G294" s="2">
        <f>-1+76+4</f>
        <v>79</v>
      </c>
      <c r="H294" s="17">
        <f t="shared" si="32"/>
        <v>1.234375</v>
      </c>
      <c r="I294" s="2">
        <f>0+2+1</f>
        <v>3</v>
      </c>
      <c r="K294" s="18">
        <f t="shared" si="33"/>
        <v>26.333333333333332</v>
      </c>
    </row>
    <row r="295" spans="1:11" ht="12.75">
      <c r="A295" s="14" t="s">
        <v>14</v>
      </c>
      <c r="B295" s="15" t="s">
        <v>311</v>
      </c>
      <c r="C295" s="2">
        <v>2</v>
      </c>
      <c r="E295" s="2">
        <f>21+11</f>
        <v>32</v>
      </c>
      <c r="G295" s="2">
        <f>42+36</f>
        <v>78</v>
      </c>
      <c r="H295" s="17">
        <f t="shared" si="32"/>
        <v>2.4375</v>
      </c>
      <c r="I295" s="2">
        <f>2+1</f>
        <v>3</v>
      </c>
      <c r="K295" s="18">
        <f t="shared" si="33"/>
        <v>39</v>
      </c>
    </row>
    <row r="296" spans="1:11" ht="12.75">
      <c r="A296" s="14" t="s">
        <v>1820</v>
      </c>
      <c r="B296" s="15" t="s">
        <v>103</v>
      </c>
      <c r="C296" s="2">
        <v>3</v>
      </c>
      <c r="E296" s="2">
        <f>4+38+34</f>
        <v>76</v>
      </c>
      <c r="G296" s="2">
        <f>8+46+22</f>
        <v>76</v>
      </c>
      <c r="H296" s="17">
        <f t="shared" si="32"/>
        <v>1</v>
      </c>
      <c r="I296" s="2">
        <f>0+1+0</f>
        <v>1</v>
      </c>
      <c r="K296" s="18">
        <f t="shared" si="33"/>
        <v>25.333333333333332</v>
      </c>
    </row>
    <row r="297" spans="1:11" ht="12.75">
      <c r="A297" s="14" t="s">
        <v>976</v>
      </c>
      <c r="B297" s="15" t="s">
        <v>974</v>
      </c>
      <c r="C297" s="2">
        <v>1</v>
      </c>
      <c r="E297" s="2">
        <f>19</f>
        <v>19</v>
      </c>
      <c r="G297" s="2">
        <f>73</f>
        <v>73</v>
      </c>
      <c r="H297" s="17">
        <f t="shared" si="32"/>
        <v>3.8421052631578947</v>
      </c>
      <c r="I297" s="2">
        <f>1</f>
        <v>1</v>
      </c>
      <c r="K297" s="18">
        <f t="shared" si="33"/>
        <v>73</v>
      </c>
    </row>
    <row r="298" spans="1:11" ht="12.75">
      <c r="A298" s="14" t="s">
        <v>4</v>
      </c>
      <c r="B298" s="15" t="s">
        <v>1983</v>
      </c>
      <c r="C298" s="2">
        <v>1</v>
      </c>
      <c r="E298" s="2">
        <v>24</v>
      </c>
      <c r="G298" s="2">
        <v>69</v>
      </c>
      <c r="H298" s="17">
        <f t="shared" si="32"/>
        <v>2.875</v>
      </c>
      <c r="I298" s="2">
        <v>0</v>
      </c>
      <c r="K298" s="18">
        <f t="shared" si="33"/>
        <v>69</v>
      </c>
    </row>
    <row r="299" spans="1:11" ht="12.75">
      <c r="A299" s="14" t="s">
        <v>1020</v>
      </c>
      <c r="B299" s="15" t="s">
        <v>392</v>
      </c>
      <c r="C299" s="2">
        <v>3</v>
      </c>
      <c r="E299" s="2">
        <f>12+18+9</f>
        <v>39</v>
      </c>
      <c r="G299" s="2">
        <f>4+59+5</f>
        <v>68</v>
      </c>
      <c r="H299" s="17">
        <f t="shared" si="32"/>
        <v>1.7435897435897436</v>
      </c>
      <c r="I299" s="2">
        <f>1+1+0</f>
        <v>2</v>
      </c>
      <c r="K299" s="18">
        <f t="shared" si="33"/>
        <v>22.666666666666668</v>
      </c>
    </row>
    <row r="300" spans="1:11" ht="12.75">
      <c r="A300" s="14" t="s">
        <v>81</v>
      </c>
      <c r="B300" s="15" t="s">
        <v>82</v>
      </c>
      <c r="C300" s="2">
        <v>1</v>
      </c>
      <c r="E300" s="2">
        <f>48</f>
        <v>48</v>
      </c>
      <c r="G300" s="2">
        <f>64</f>
        <v>64</v>
      </c>
      <c r="H300" s="17">
        <f t="shared" si="32"/>
        <v>1.3333333333333333</v>
      </c>
      <c r="I300" s="2">
        <f>4</f>
        <v>4</v>
      </c>
      <c r="K300" s="18">
        <f t="shared" si="33"/>
        <v>64</v>
      </c>
    </row>
    <row r="301" spans="1:11" ht="12.75">
      <c r="A301" s="14" t="s">
        <v>2005</v>
      </c>
      <c r="B301" s="15" t="s">
        <v>530</v>
      </c>
      <c r="C301" s="2">
        <v>3</v>
      </c>
      <c r="E301" s="2">
        <f>11+16+1</f>
        <v>28</v>
      </c>
      <c r="G301" s="2">
        <f>12+52+0</f>
        <v>64</v>
      </c>
      <c r="H301" s="17">
        <f t="shared" si="32"/>
        <v>2.2857142857142856</v>
      </c>
      <c r="I301" s="2">
        <f>1+1+0</f>
        <v>2</v>
      </c>
      <c r="K301" s="18">
        <f t="shared" si="33"/>
        <v>21.333333333333332</v>
      </c>
    </row>
    <row r="302" spans="1:11" ht="12.75">
      <c r="A302" s="14" t="s">
        <v>22</v>
      </c>
      <c r="B302" s="15" t="s">
        <v>713</v>
      </c>
      <c r="C302" s="2">
        <v>4</v>
      </c>
      <c r="E302" s="2">
        <f>2+26+23+22</f>
        <v>73</v>
      </c>
      <c r="G302" s="2">
        <f>-2+37+33-5</f>
        <v>63</v>
      </c>
      <c r="H302" s="17">
        <f t="shared" si="32"/>
        <v>0.863013698630137</v>
      </c>
      <c r="I302" s="2">
        <f>0+0+1+1</f>
        <v>2</v>
      </c>
      <c r="K302" s="18">
        <f t="shared" si="33"/>
        <v>15.75</v>
      </c>
    </row>
    <row r="303" spans="1:11" ht="12.75">
      <c r="A303" s="14" t="s">
        <v>1137</v>
      </c>
      <c r="B303" s="15" t="s">
        <v>1061</v>
      </c>
      <c r="C303" s="2">
        <v>1</v>
      </c>
      <c r="E303" s="2">
        <v>30</v>
      </c>
      <c r="G303" s="2">
        <v>62</v>
      </c>
      <c r="H303" s="17">
        <f t="shared" si="32"/>
        <v>2.066666666666667</v>
      </c>
      <c r="I303" s="2">
        <v>3</v>
      </c>
      <c r="K303" s="18">
        <f t="shared" si="33"/>
        <v>62</v>
      </c>
    </row>
    <row r="304" spans="1:11" ht="12.75">
      <c r="A304" s="14" t="s">
        <v>1083</v>
      </c>
      <c r="B304" s="15" t="s">
        <v>246</v>
      </c>
      <c r="C304" s="2">
        <v>3</v>
      </c>
      <c r="E304" s="2">
        <f>46+1+13</f>
        <v>60</v>
      </c>
      <c r="G304" s="2">
        <f>51+1+10</f>
        <v>62</v>
      </c>
      <c r="H304" s="17">
        <f aca="true" t="shared" si="34" ref="H304:H367">G304/E304</f>
        <v>1.0333333333333334</v>
      </c>
      <c r="I304" s="2">
        <f>1+0+0</f>
        <v>1</v>
      </c>
      <c r="K304" s="18">
        <f aca="true" t="shared" si="35" ref="K304:K367">IF(C304=0,0,G304/C304)</f>
        <v>20.666666666666668</v>
      </c>
    </row>
    <row r="305" spans="1:11" ht="12.75">
      <c r="A305" s="14" t="s">
        <v>1146</v>
      </c>
      <c r="B305" s="15" t="s">
        <v>1881</v>
      </c>
      <c r="C305" s="2">
        <v>3</v>
      </c>
      <c r="E305" s="2">
        <f>6+16+13</f>
        <v>35</v>
      </c>
      <c r="G305" s="2">
        <f>11+29+19</f>
        <v>59</v>
      </c>
      <c r="H305" s="17">
        <f t="shared" si="34"/>
        <v>1.6857142857142857</v>
      </c>
      <c r="I305" s="2">
        <f>3+1+1</f>
        <v>5</v>
      </c>
      <c r="K305" s="18">
        <f t="shared" si="35"/>
        <v>19.666666666666668</v>
      </c>
    </row>
    <row r="306" spans="1:11" ht="12.75">
      <c r="A306" s="14" t="s">
        <v>258</v>
      </c>
      <c r="B306" s="15" t="s">
        <v>259</v>
      </c>
      <c r="C306" s="2">
        <v>1</v>
      </c>
      <c r="E306" s="2">
        <f>32</f>
        <v>32</v>
      </c>
      <c r="G306" s="2">
        <f>58</f>
        <v>58</v>
      </c>
      <c r="H306" s="17">
        <f t="shared" si="34"/>
        <v>1.8125</v>
      </c>
      <c r="I306" s="2">
        <f>2</f>
        <v>2</v>
      </c>
      <c r="K306" s="18">
        <f t="shared" si="35"/>
        <v>58</v>
      </c>
    </row>
    <row r="307" spans="1:11" ht="12.75">
      <c r="A307" s="14" t="s">
        <v>1832</v>
      </c>
      <c r="B307" s="15" t="s">
        <v>1833</v>
      </c>
      <c r="C307" s="2">
        <v>1</v>
      </c>
      <c r="E307" s="2">
        <v>25</v>
      </c>
      <c r="G307" s="2">
        <v>57</v>
      </c>
      <c r="H307" s="17">
        <f t="shared" si="34"/>
        <v>2.28</v>
      </c>
      <c r="I307" s="2">
        <v>4</v>
      </c>
      <c r="K307" s="18">
        <f t="shared" si="35"/>
        <v>57</v>
      </c>
    </row>
    <row r="308" spans="1:11" ht="12.75">
      <c r="A308" s="14" t="s">
        <v>1051</v>
      </c>
      <c r="B308" s="15" t="s">
        <v>1863</v>
      </c>
      <c r="C308" s="2">
        <v>3</v>
      </c>
      <c r="E308" s="2">
        <f>14+32+1</f>
        <v>47</v>
      </c>
      <c r="G308" s="2">
        <f>43+13-1</f>
        <v>55</v>
      </c>
      <c r="H308" s="17">
        <f t="shared" si="34"/>
        <v>1.1702127659574468</v>
      </c>
      <c r="I308" s="2">
        <f>0+0+0</f>
        <v>0</v>
      </c>
      <c r="K308" s="18">
        <f t="shared" si="35"/>
        <v>18.333333333333332</v>
      </c>
    </row>
    <row r="309" spans="1:11" ht="12.75">
      <c r="A309" s="14" t="s">
        <v>6</v>
      </c>
      <c r="B309" s="15" t="s">
        <v>568</v>
      </c>
      <c r="C309" s="2">
        <v>6</v>
      </c>
      <c r="E309" s="2">
        <f>2+6+4+1+1+1</f>
        <v>15</v>
      </c>
      <c r="G309" s="2">
        <f>10+25+13+9+0-2</f>
        <v>55</v>
      </c>
      <c r="H309" s="17">
        <f t="shared" si="34"/>
        <v>3.6666666666666665</v>
      </c>
      <c r="I309" s="2">
        <f>0+0+0+0+0+0</f>
        <v>0</v>
      </c>
      <c r="K309" s="18">
        <f t="shared" si="35"/>
        <v>9.166666666666666</v>
      </c>
    </row>
    <row r="310" spans="1:11" ht="12.75">
      <c r="A310" s="14" t="s">
        <v>802</v>
      </c>
      <c r="B310" s="15" t="s">
        <v>801</v>
      </c>
      <c r="C310" s="2">
        <v>1</v>
      </c>
      <c r="E310" s="2">
        <f>16</f>
        <v>16</v>
      </c>
      <c r="G310" s="2">
        <f>53</f>
        <v>53</v>
      </c>
      <c r="H310" s="17">
        <f t="shared" si="34"/>
        <v>3.3125</v>
      </c>
      <c r="I310" s="2">
        <f>2</f>
        <v>2</v>
      </c>
      <c r="K310" s="18">
        <f t="shared" si="35"/>
        <v>53</v>
      </c>
    </row>
    <row r="311" spans="1:11" ht="12.75">
      <c r="A311" s="14" t="s">
        <v>1141</v>
      </c>
      <c r="B311" s="15" t="s">
        <v>321</v>
      </c>
      <c r="C311" s="2">
        <v>4</v>
      </c>
      <c r="E311" s="2">
        <f>10+3+2+1</f>
        <v>16</v>
      </c>
      <c r="G311" s="2">
        <f>42+9+3-1</f>
        <v>53</v>
      </c>
      <c r="H311" s="17">
        <f t="shared" si="34"/>
        <v>3.3125</v>
      </c>
      <c r="I311" s="2">
        <f>1+0+1+0</f>
        <v>2</v>
      </c>
      <c r="K311" s="18">
        <f t="shared" si="35"/>
        <v>13.25</v>
      </c>
    </row>
    <row r="312" spans="1:11" ht="12.75">
      <c r="A312" s="14" t="s">
        <v>662</v>
      </c>
      <c r="B312" s="15" t="s">
        <v>663</v>
      </c>
      <c r="C312" s="2">
        <v>1</v>
      </c>
      <c r="E312" s="2">
        <f>10</f>
        <v>10</v>
      </c>
      <c r="G312" s="2">
        <f>46</f>
        <v>46</v>
      </c>
      <c r="H312" s="17">
        <f t="shared" si="34"/>
        <v>4.6</v>
      </c>
      <c r="I312" s="2">
        <f>0</f>
        <v>0</v>
      </c>
      <c r="K312" s="18">
        <f t="shared" si="35"/>
        <v>46</v>
      </c>
    </row>
    <row r="313" spans="1:11" ht="12.75">
      <c r="A313" s="14" t="s">
        <v>1065</v>
      </c>
      <c r="B313" s="15" t="s">
        <v>1061</v>
      </c>
      <c r="C313" s="2">
        <v>1</v>
      </c>
      <c r="E313" s="2">
        <v>11</v>
      </c>
      <c r="G313" s="2">
        <v>45</v>
      </c>
      <c r="H313" s="17">
        <f t="shared" si="34"/>
        <v>4.090909090909091</v>
      </c>
      <c r="I313" s="2">
        <v>0</v>
      </c>
      <c r="K313" s="18">
        <f t="shared" si="35"/>
        <v>45</v>
      </c>
    </row>
    <row r="314" spans="1:11" ht="12.75">
      <c r="A314" s="14" t="s">
        <v>1171</v>
      </c>
      <c r="B314" s="15" t="s">
        <v>1028</v>
      </c>
      <c r="C314" s="2">
        <v>2</v>
      </c>
      <c r="E314" s="2">
        <f>14+1</f>
        <v>15</v>
      </c>
      <c r="G314" s="2">
        <f>43+2</f>
        <v>45</v>
      </c>
      <c r="H314" s="17">
        <f t="shared" si="34"/>
        <v>3</v>
      </c>
      <c r="I314" s="2">
        <f>0+0</f>
        <v>0</v>
      </c>
      <c r="K314" s="18">
        <f t="shared" si="35"/>
        <v>22.5</v>
      </c>
    </row>
    <row r="315" spans="1:11" ht="12.75">
      <c r="A315" s="14" t="s">
        <v>1156</v>
      </c>
      <c r="B315" s="15" t="s">
        <v>896</v>
      </c>
      <c r="C315" s="2">
        <v>5</v>
      </c>
      <c r="E315" s="2">
        <f>4+1+2+4+2</f>
        <v>13</v>
      </c>
      <c r="G315" s="2">
        <f>16+4+11+5+7</f>
        <v>43</v>
      </c>
      <c r="H315" s="17">
        <f t="shared" si="34"/>
        <v>3.3076923076923075</v>
      </c>
      <c r="I315" s="2">
        <f>0+2+0+0+1</f>
        <v>3</v>
      </c>
      <c r="K315" s="18">
        <f t="shared" si="35"/>
        <v>8.6</v>
      </c>
    </row>
    <row r="316" spans="1:11" ht="12.75">
      <c r="A316" s="14" t="s">
        <v>1898</v>
      </c>
      <c r="B316" s="15" t="s">
        <v>438</v>
      </c>
      <c r="C316" s="2">
        <v>5</v>
      </c>
      <c r="E316" s="2">
        <f>16+21+42+16+32</f>
        <v>127</v>
      </c>
      <c r="G316" s="2">
        <f>2+0+12-10+39</f>
        <v>43</v>
      </c>
      <c r="H316" s="17">
        <f t="shared" si="34"/>
        <v>0.33858267716535434</v>
      </c>
      <c r="I316" s="2">
        <f>0+0+0+0+1</f>
        <v>1</v>
      </c>
      <c r="K316" s="18">
        <f t="shared" si="35"/>
        <v>8.6</v>
      </c>
    </row>
    <row r="317" spans="1:11" ht="12.75">
      <c r="A317" s="14" t="s">
        <v>1016</v>
      </c>
      <c r="B317" s="15" t="s">
        <v>1963</v>
      </c>
      <c r="C317" s="2">
        <v>3</v>
      </c>
      <c r="E317" s="2">
        <f>20+1+21</f>
        <v>42</v>
      </c>
      <c r="G317" s="2">
        <f>15+0+27</f>
        <v>42</v>
      </c>
      <c r="H317" s="17">
        <f t="shared" si="34"/>
        <v>1</v>
      </c>
      <c r="I317" s="2">
        <f>0+0+1</f>
        <v>1</v>
      </c>
      <c r="K317" s="18">
        <f t="shared" si="35"/>
        <v>14</v>
      </c>
    </row>
    <row r="318" spans="1:11" ht="12.75">
      <c r="A318" s="14" t="s">
        <v>1142</v>
      </c>
      <c r="B318" s="15" t="s">
        <v>1013</v>
      </c>
      <c r="C318" s="2">
        <v>1</v>
      </c>
      <c r="E318" s="2">
        <v>11</v>
      </c>
      <c r="G318" s="2">
        <v>41</v>
      </c>
      <c r="H318" s="17">
        <f t="shared" si="34"/>
        <v>3.727272727272727</v>
      </c>
      <c r="I318" s="2">
        <v>3</v>
      </c>
      <c r="K318" s="18">
        <f t="shared" si="35"/>
        <v>41</v>
      </c>
    </row>
    <row r="319" spans="1:11" ht="12.75">
      <c r="A319" s="14" t="s">
        <v>1143</v>
      </c>
      <c r="B319" s="15" t="s">
        <v>1019</v>
      </c>
      <c r="C319" s="2">
        <v>1</v>
      </c>
      <c r="E319" s="2">
        <v>16</v>
      </c>
      <c r="G319" s="2">
        <v>41</v>
      </c>
      <c r="H319" s="17">
        <f t="shared" si="34"/>
        <v>2.5625</v>
      </c>
      <c r="I319" s="2">
        <v>0</v>
      </c>
      <c r="K319" s="18">
        <f t="shared" si="35"/>
        <v>41</v>
      </c>
    </row>
    <row r="320" spans="1:11" ht="12.75">
      <c r="A320" s="14" t="s">
        <v>307</v>
      </c>
      <c r="B320" s="15" t="s">
        <v>308</v>
      </c>
      <c r="C320" s="2">
        <v>1</v>
      </c>
      <c r="E320" s="2">
        <f>27</f>
        <v>27</v>
      </c>
      <c r="G320" s="2">
        <f>41</f>
        <v>41</v>
      </c>
      <c r="H320" s="17">
        <f t="shared" si="34"/>
        <v>1.5185185185185186</v>
      </c>
      <c r="I320" s="2">
        <f>0</f>
        <v>0</v>
      </c>
      <c r="K320" s="18">
        <f t="shared" si="35"/>
        <v>41</v>
      </c>
    </row>
    <row r="321" spans="1:11" ht="12.75">
      <c r="A321" s="14" t="s">
        <v>2</v>
      </c>
      <c r="B321" s="15" t="s">
        <v>1980</v>
      </c>
      <c r="C321" s="2">
        <v>1</v>
      </c>
      <c r="E321" s="2">
        <v>8</v>
      </c>
      <c r="G321" s="2">
        <v>39</v>
      </c>
      <c r="H321" s="17">
        <f t="shared" si="34"/>
        <v>4.875</v>
      </c>
      <c r="I321" s="2">
        <v>1</v>
      </c>
      <c r="K321" s="18">
        <f t="shared" si="35"/>
        <v>39</v>
      </c>
    </row>
    <row r="322" spans="1:11" ht="12.75">
      <c r="A322" s="14" t="s">
        <v>1159</v>
      </c>
      <c r="B322" s="15" t="s">
        <v>1539</v>
      </c>
      <c r="C322" s="2">
        <v>2</v>
      </c>
      <c r="E322" s="2">
        <f>3+15</f>
        <v>18</v>
      </c>
      <c r="G322" s="2">
        <f>11+28</f>
        <v>39</v>
      </c>
      <c r="H322" s="17">
        <f t="shared" si="34"/>
        <v>2.1666666666666665</v>
      </c>
      <c r="I322" s="2">
        <f>0+1</f>
        <v>1</v>
      </c>
      <c r="K322" s="18">
        <f t="shared" si="35"/>
        <v>19.5</v>
      </c>
    </row>
    <row r="323" spans="1:11" ht="12.75">
      <c r="A323" s="14" t="s">
        <v>973</v>
      </c>
      <c r="B323" s="15" t="s">
        <v>66</v>
      </c>
      <c r="C323" s="2">
        <v>2</v>
      </c>
      <c r="E323" s="2">
        <f>13+3</f>
        <v>16</v>
      </c>
      <c r="G323" s="2">
        <f>41-3</f>
        <v>38</v>
      </c>
      <c r="H323" s="17">
        <f t="shared" si="34"/>
        <v>2.375</v>
      </c>
      <c r="I323" s="2">
        <f>1+0</f>
        <v>1</v>
      </c>
      <c r="K323" s="18">
        <f t="shared" si="35"/>
        <v>19</v>
      </c>
    </row>
    <row r="324" spans="1:11" ht="12.75">
      <c r="A324" s="14" t="s">
        <v>678</v>
      </c>
      <c r="B324" s="15" t="s">
        <v>675</v>
      </c>
      <c r="C324" s="2">
        <v>1</v>
      </c>
      <c r="E324" s="2">
        <f>17</f>
        <v>17</v>
      </c>
      <c r="G324" s="2">
        <f>35</f>
        <v>35</v>
      </c>
      <c r="H324" s="17">
        <f t="shared" si="34"/>
        <v>2.0588235294117645</v>
      </c>
      <c r="I324" s="2">
        <f>3</f>
        <v>3</v>
      </c>
      <c r="K324" s="18">
        <f t="shared" si="35"/>
        <v>35</v>
      </c>
    </row>
    <row r="325" spans="1:11" ht="12.75">
      <c r="A325" s="14" t="s">
        <v>1155</v>
      </c>
      <c r="B325" s="15" t="s">
        <v>1741</v>
      </c>
      <c r="C325" s="2">
        <v>3</v>
      </c>
      <c r="E325" s="2">
        <f>9+6+3</f>
        <v>18</v>
      </c>
      <c r="G325" s="2">
        <f>14+17+4</f>
        <v>35</v>
      </c>
      <c r="H325" s="17">
        <f t="shared" si="34"/>
        <v>1.9444444444444444</v>
      </c>
      <c r="I325" s="2">
        <f>1+0+1</f>
        <v>2</v>
      </c>
      <c r="K325" s="18">
        <f t="shared" si="35"/>
        <v>11.666666666666666</v>
      </c>
    </row>
    <row r="326" spans="1:11" ht="12.75">
      <c r="A326" s="14" t="s">
        <v>596</v>
      </c>
      <c r="B326" s="15" t="s">
        <v>755</v>
      </c>
      <c r="C326" s="2">
        <v>1</v>
      </c>
      <c r="E326" s="2">
        <f>2</f>
        <v>2</v>
      </c>
      <c r="G326" s="2">
        <f>34</f>
        <v>34</v>
      </c>
      <c r="H326" s="17">
        <f t="shared" si="34"/>
        <v>17</v>
      </c>
      <c r="I326" s="2">
        <f>0</f>
        <v>0</v>
      </c>
      <c r="K326" s="18">
        <f t="shared" si="35"/>
        <v>34</v>
      </c>
    </row>
    <row r="327" spans="1:11" ht="12.75">
      <c r="A327" s="14" t="s">
        <v>1172</v>
      </c>
      <c r="B327" s="15" t="s">
        <v>1034</v>
      </c>
      <c r="C327" s="2">
        <v>2</v>
      </c>
      <c r="E327" s="2">
        <f>7+3</f>
        <v>10</v>
      </c>
      <c r="G327" s="2">
        <f>32+2</f>
        <v>34</v>
      </c>
      <c r="H327" s="17">
        <f t="shared" si="34"/>
        <v>3.4</v>
      </c>
      <c r="I327" s="2">
        <f>0+0</f>
        <v>0</v>
      </c>
      <c r="K327" s="18">
        <f t="shared" si="35"/>
        <v>17</v>
      </c>
    </row>
    <row r="328" spans="1:11" ht="12.75">
      <c r="A328" s="14" t="s">
        <v>1040</v>
      </c>
      <c r="B328" s="15" t="s">
        <v>1041</v>
      </c>
      <c r="C328" s="2">
        <v>2</v>
      </c>
      <c r="E328" s="2">
        <f>14+6</f>
        <v>20</v>
      </c>
      <c r="G328" s="2">
        <f>25+8</f>
        <v>33</v>
      </c>
      <c r="H328" s="17">
        <f t="shared" si="34"/>
        <v>1.65</v>
      </c>
      <c r="I328" s="2">
        <f>0+0</f>
        <v>0</v>
      </c>
      <c r="K328" s="18">
        <f t="shared" si="35"/>
        <v>16.5</v>
      </c>
    </row>
    <row r="329" spans="1:11" ht="12.75">
      <c r="A329" s="14" t="s">
        <v>1802</v>
      </c>
      <c r="B329" s="15" t="s">
        <v>1975</v>
      </c>
      <c r="C329" s="2">
        <v>2</v>
      </c>
      <c r="E329" s="2">
        <f>3+26</f>
        <v>29</v>
      </c>
      <c r="G329" s="2">
        <f>10+23</f>
        <v>33</v>
      </c>
      <c r="H329" s="17">
        <f t="shared" si="34"/>
        <v>1.1379310344827587</v>
      </c>
      <c r="I329" s="2">
        <f>0+0</f>
        <v>0</v>
      </c>
      <c r="K329" s="18">
        <f t="shared" si="35"/>
        <v>16.5</v>
      </c>
    </row>
    <row r="330" spans="1:11" ht="12.75">
      <c r="A330" s="14" t="s">
        <v>1744</v>
      </c>
      <c r="B330" s="15" t="s">
        <v>1743</v>
      </c>
      <c r="C330" s="2">
        <v>1</v>
      </c>
      <c r="E330" s="2">
        <v>11</v>
      </c>
      <c r="G330" s="2">
        <v>32</v>
      </c>
      <c r="H330" s="17">
        <f t="shared" si="34"/>
        <v>2.909090909090909</v>
      </c>
      <c r="I330" s="2">
        <v>0</v>
      </c>
      <c r="K330" s="18">
        <f t="shared" si="35"/>
        <v>32</v>
      </c>
    </row>
    <row r="331" spans="1:11" ht="12.75">
      <c r="A331" s="14" t="s">
        <v>1088</v>
      </c>
      <c r="B331" s="15" t="s">
        <v>1089</v>
      </c>
      <c r="C331" s="2">
        <v>1</v>
      </c>
      <c r="E331" s="2">
        <v>49</v>
      </c>
      <c r="G331" s="2">
        <v>32</v>
      </c>
      <c r="H331" s="17">
        <f t="shared" si="34"/>
        <v>0.6530612244897959</v>
      </c>
      <c r="I331" s="2">
        <v>0</v>
      </c>
      <c r="K331" s="18">
        <f t="shared" si="35"/>
        <v>32</v>
      </c>
    </row>
    <row r="332" spans="1:11" ht="12.75">
      <c r="A332" s="14" t="s">
        <v>1933</v>
      </c>
      <c r="B332" s="15" t="s">
        <v>65</v>
      </c>
      <c r="C332" s="2">
        <v>5</v>
      </c>
      <c r="E332" s="2">
        <f>4+7+2+14+15</f>
        <v>42</v>
      </c>
      <c r="G332" s="2">
        <f>2+2+3+21+4</f>
        <v>32</v>
      </c>
      <c r="H332" s="17">
        <f t="shared" si="34"/>
        <v>0.7619047619047619</v>
      </c>
      <c r="I332" s="2">
        <f>0+1+0+0+1</f>
        <v>2</v>
      </c>
      <c r="K332" s="18">
        <f t="shared" si="35"/>
        <v>6.4</v>
      </c>
    </row>
    <row r="333" spans="1:11" ht="12.75">
      <c r="A333" s="14" t="s">
        <v>1035</v>
      </c>
      <c r="B333" s="15" t="s">
        <v>1709</v>
      </c>
      <c r="C333" s="2">
        <v>2</v>
      </c>
      <c r="E333" s="2">
        <f>24+6</f>
        <v>30</v>
      </c>
      <c r="G333" s="2">
        <f>30+1</f>
        <v>31</v>
      </c>
      <c r="H333" s="17">
        <f t="shared" si="34"/>
        <v>1.0333333333333334</v>
      </c>
      <c r="I333" s="2">
        <f>1+0</f>
        <v>1</v>
      </c>
      <c r="K333" s="18">
        <f t="shared" si="35"/>
        <v>15.5</v>
      </c>
    </row>
    <row r="334" spans="1:11" ht="12.75">
      <c r="A334" s="14" t="s">
        <v>1174</v>
      </c>
      <c r="B334" s="15" t="s">
        <v>1039</v>
      </c>
      <c r="C334" s="2">
        <v>2</v>
      </c>
      <c r="E334" s="2">
        <f>10+1</f>
        <v>11</v>
      </c>
      <c r="G334" s="2">
        <f>27+1</f>
        <v>28</v>
      </c>
      <c r="H334" s="17">
        <f t="shared" si="34"/>
        <v>2.5454545454545454</v>
      </c>
      <c r="I334" s="2">
        <f>0+1</f>
        <v>1</v>
      </c>
      <c r="K334" s="18">
        <f t="shared" si="35"/>
        <v>14</v>
      </c>
    </row>
    <row r="335" spans="1:11" ht="12.75">
      <c r="A335" s="14" t="s">
        <v>1154</v>
      </c>
      <c r="B335" s="15" t="s">
        <v>1913</v>
      </c>
      <c r="C335" s="2">
        <v>2</v>
      </c>
      <c r="E335" s="2">
        <f>5+9</f>
        <v>14</v>
      </c>
      <c r="G335" s="2">
        <f>18+10</f>
        <v>28</v>
      </c>
      <c r="H335" s="17">
        <f t="shared" si="34"/>
        <v>2</v>
      </c>
      <c r="I335" s="2">
        <f>1+2</f>
        <v>3</v>
      </c>
      <c r="K335" s="18">
        <f t="shared" si="35"/>
        <v>14</v>
      </c>
    </row>
    <row r="336" spans="1:11" ht="12.75">
      <c r="A336" s="14" t="s">
        <v>1079</v>
      </c>
      <c r="B336" s="15" t="s">
        <v>860</v>
      </c>
      <c r="C336" s="2">
        <v>2</v>
      </c>
      <c r="E336" s="2">
        <f>29+11</f>
        <v>40</v>
      </c>
      <c r="G336" s="2">
        <f>23+5</f>
        <v>28</v>
      </c>
      <c r="H336" s="17">
        <f t="shared" si="34"/>
        <v>0.7</v>
      </c>
      <c r="I336" s="2">
        <f>0+1</f>
        <v>1</v>
      </c>
      <c r="K336" s="18">
        <f t="shared" si="35"/>
        <v>14</v>
      </c>
    </row>
    <row r="337" spans="1:11" ht="12.75">
      <c r="A337" s="14" t="s">
        <v>726</v>
      </c>
      <c r="B337" s="15" t="s">
        <v>727</v>
      </c>
      <c r="C337" s="2">
        <v>1</v>
      </c>
      <c r="E337" s="2">
        <f>8</f>
        <v>8</v>
      </c>
      <c r="G337" s="2">
        <f>27</f>
        <v>27</v>
      </c>
      <c r="H337" s="17">
        <f t="shared" si="34"/>
        <v>3.375</v>
      </c>
      <c r="I337" s="2">
        <f>1</f>
        <v>1</v>
      </c>
      <c r="K337" s="18">
        <f t="shared" si="35"/>
        <v>27</v>
      </c>
    </row>
    <row r="338" spans="1:11" ht="12.75">
      <c r="A338" s="14" t="s">
        <v>1189</v>
      </c>
      <c r="B338" s="15" t="s">
        <v>1091</v>
      </c>
      <c r="C338" s="2">
        <v>1</v>
      </c>
      <c r="E338" s="2">
        <v>9</v>
      </c>
      <c r="G338" s="2">
        <v>27</v>
      </c>
      <c r="H338" s="17">
        <f t="shared" si="34"/>
        <v>3</v>
      </c>
      <c r="I338" s="2">
        <v>0</v>
      </c>
      <c r="K338" s="18">
        <f t="shared" si="35"/>
        <v>27</v>
      </c>
    </row>
    <row r="339" spans="1:11" ht="12.75">
      <c r="A339" s="14" t="s">
        <v>1703</v>
      </c>
      <c r="B339" s="15" t="s">
        <v>1704</v>
      </c>
      <c r="C339" s="2">
        <v>1</v>
      </c>
      <c r="E339" s="2">
        <v>4</v>
      </c>
      <c r="G339" s="2">
        <v>26</v>
      </c>
      <c r="H339" s="17">
        <f t="shared" si="34"/>
        <v>6.5</v>
      </c>
      <c r="I339" s="2">
        <v>1</v>
      </c>
      <c r="K339" s="18">
        <f t="shared" si="35"/>
        <v>26</v>
      </c>
    </row>
    <row r="340" spans="1:11" ht="12.75">
      <c r="A340" s="14" t="s">
        <v>1153</v>
      </c>
      <c r="B340" s="15" t="s">
        <v>2028</v>
      </c>
      <c r="C340" s="2">
        <v>2</v>
      </c>
      <c r="E340" s="2">
        <f>4+2</f>
        <v>6</v>
      </c>
      <c r="G340" s="2">
        <f>18+8</f>
        <v>26</v>
      </c>
      <c r="H340" s="17">
        <f t="shared" si="34"/>
        <v>4.333333333333333</v>
      </c>
      <c r="I340" s="2">
        <f>2+0</f>
        <v>2</v>
      </c>
      <c r="K340" s="18">
        <f t="shared" si="35"/>
        <v>13</v>
      </c>
    </row>
    <row r="341" spans="1:11" ht="12.75">
      <c r="A341" s="14" t="s">
        <v>1170</v>
      </c>
      <c r="B341" s="15" t="s">
        <v>934</v>
      </c>
      <c r="C341" s="2">
        <v>2</v>
      </c>
      <c r="E341" s="2">
        <f>5+4</f>
        <v>9</v>
      </c>
      <c r="G341" s="2">
        <f>3+23</f>
        <v>26</v>
      </c>
      <c r="H341" s="17">
        <f t="shared" si="34"/>
        <v>2.888888888888889</v>
      </c>
      <c r="I341" s="2">
        <f>0+1</f>
        <v>1</v>
      </c>
      <c r="K341" s="18">
        <f t="shared" si="35"/>
        <v>13</v>
      </c>
    </row>
    <row r="342" spans="1:11" ht="12.75">
      <c r="A342" s="14" t="s">
        <v>1074</v>
      </c>
      <c r="B342" s="15" t="s">
        <v>689</v>
      </c>
      <c r="C342" s="2">
        <v>5</v>
      </c>
      <c r="E342" s="2">
        <f>2+35+13+19+17</f>
        <v>86</v>
      </c>
      <c r="G342" s="2">
        <f>-2+26+11-4-6</f>
        <v>25</v>
      </c>
      <c r="H342" s="17">
        <f t="shared" si="34"/>
        <v>0.29069767441860467</v>
      </c>
      <c r="I342" s="2">
        <f>0+0+0+1+0</f>
        <v>1</v>
      </c>
      <c r="K342" s="18">
        <f t="shared" si="35"/>
        <v>5</v>
      </c>
    </row>
    <row r="343" spans="1:11" ht="12.75">
      <c r="A343" s="14" t="s">
        <v>1150</v>
      </c>
      <c r="B343" s="15" t="s">
        <v>1026</v>
      </c>
      <c r="C343" s="2">
        <v>1</v>
      </c>
      <c r="E343" s="2">
        <v>11</v>
      </c>
      <c r="G343" s="2">
        <v>24</v>
      </c>
      <c r="H343" s="17">
        <f t="shared" si="34"/>
        <v>2.1818181818181817</v>
      </c>
      <c r="I343" s="2">
        <v>0</v>
      </c>
      <c r="K343" s="18">
        <f t="shared" si="35"/>
        <v>24</v>
      </c>
    </row>
    <row r="344" spans="1:11" ht="12.75">
      <c r="A344" s="14" t="s">
        <v>1920</v>
      </c>
      <c r="B344" s="15" t="s">
        <v>1921</v>
      </c>
      <c r="C344" s="2">
        <v>1</v>
      </c>
      <c r="E344" s="2">
        <v>18</v>
      </c>
      <c r="G344" s="2">
        <v>24</v>
      </c>
      <c r="H344" s="17">
        <f t="shared" si="34"/>
        <v>1.3333333333333333</v>
      </c>
      <c r="I344" s="2">
        <v>0</v>
      </c>
      <c r="K344" s="18">
        <f t="shared" si="35"/>
        <v>24</v>
      </c>
    </row>
    <row r="345" spans="1:11" ht="12.75">
      <c r="A345" s="14" t="s">
        <v>1892</v>
      </c>
      <c r="B345" s="15" t="s">
        <v>473</v>
      </c>
      <c r="C345" s="2">
        <v>3</v>
      </c>
      <c r="E345" s="2">
        <f>9+2+7</f>
        <v>18</v>
      </c>
      <c r="G345" s="2">
        <f>21-1+4</f>
        <v>24</v>
      </c>
      <c r="H345" s="17">
        <f t="shared" si="34"/>
        <v>1.3333333333333333</v>
      </c>
      <c r="I345" s="2">
        <f>1+0+0</f>
        <v>1</v>
      </c>
      <c r="K345" s="18">
        <f t="shared" si="35"/>
        <v>8</v>
      </c>
    </row>
    <row r="346" spans="1:11" ht="12.75">
      <c r="A346" s="14" t="s">
        <v>2018</v>
      </c>
      <c r="B346" s="15" t="s">
        <v>1970</v>
      </c>
      <c r="C346" s="2">
        <v>1</v>
      </c>
      <c r="E346" s="2">
        <v>5</v>
      </c>
      <c r="G346" s="2">
        <v>21</v>
      </c>
      <c r="H346" s="17">
        <f t="shared" si="34"/>
        <v>4.2</v>
      </c>
      <c r="I346" s="2">
        <v>1</v>
      </c>
      <c r="K346" s="18">
        <f t="shared" si="35"/>
        <v>21</v>
      </c>
    </row>
    <row r="347" spans="1:11" ht="12.75">
      <c r="A347" s="15" t="s">
        <v>1187</v>
      </c>
      <c r="B347" s="15" t="s">
        <v>1188</v>
      </c>
      <c r="C347" s="2">
        <v>1</v>
      </c>
      <c r="E347" s="2">
        <v>16</v>
      </c>
      <c r="G347" s="2">
        <v>21</v>
      </c>
      <c r="H347" s="17">
        <f t="shared" si="34"/>
        <v>1.3125</v>
      </c>
      <c r="I347" s="2">
        <v>4</v>
      </c>
      <c r="K347" s="18">
        <f t="shared" si="35"/>
        <v>21</v>
      </c>
    </row>
    <row r="348" spans="1:11" ht="12.75">
      <c r="A348" s="14" t="s">
        <v>1152</v>
      </c>
      <c r="B348" s="15" t="s">
        <v>1077</v>
      </c>
      <c r="C348" s="2">
        <v>1</v>
      </c>
      <c r="E348" s="2">
        <v>11</v>
      </c>
      <c r="G348" s="2">
        <v>19</v>
      </c>
      <c r="H348" s="17">
        <f t="shared" si="34"/>
        <v>1.7272727272727273</v>
      </c>
      <c r="I348" s="2">
        <v>3</v>
      </c>
      <c r="K348" s="18">
        <f t="shared" si="35"/>
        <v>19</v>
      </c>
    </row>
    <row r="349" spans="1:11" ht="12.75">
      <c r="A349" s="14" t="s">
        <v>696</v>
      </c>
      <c r="B349" s="15" t="s">
        <v>694</v>
      </c>
      <c r="C349" s="2">
        <v>1</v>
      </c>
      <c r="E349" s="2">
        <f>12</f>
        <v>12</v>
      </c>
      <c r="G349" s="2">
        <f>19</f>
        <v>19</v>
      </c>
      <c r="H349" s="17">
        <f t="shared" si="34"/>
        <v>1.5833333333333333</v>
      </c>
      <c r="I349" s="2">
        <f>8</f>
        <v>8</v>
      </c>
      <c r="K349" s="18">
        <f t="shared" si="35"/>
        <v>19</v>
      </c>
    </row>
    <row r="350" spans="1:11" ht="12.75">
      <c r="A350" s="14" t="s">
        <v>1914</v>
      </c>
      <c r="B350" s="15" t="s">
        <v>1909</v>
      </c>
      <c r="C350" s="2">
        <v>1</v>
      </c>
      <c r="E350" s="2">
        <v>5</v>
      </c>
      <c r="G350" s="2">
        <v>17</v>
      </c>
      <c r="H350" s="17">
        <f t="shared" si="34"/>
        <v>3.4</v>
      </c>
      <c r="I350" s="2">
        <v>0</v>
      </c>
      <c r="K350" s="18">
        <f t="shared" si="35"/>
        <v>17</v>
      </c>
    </row>
    <row r="351" spans="1:11" ht="12.75">
      <c r="A351" s="14" t="s">
        <v>1965</v>
      </c>
      <c r="B351" s="15" t="s">
        <v>1966</v>
      </c>
      <c r="C351" s="2">
        <v>1</v>
      </c>
      <c r="E351" s="2">
        <v>10</v>
      </c>
      <c r="G351" s="2">
        <v>16</v>
      </c>
      <c r="H351" s="17">
        <f t="shared" si="34"/>
        <v>1.6</v>
      </c>
      <c r="I351" s="2">
        <v>1</v>
      </c>
      <c r="K351" s="18">
        <f t="shared" si="35"/>
        <v>16</v>
      </c>
    </row>
    <row r="352" spans="1:11" ht="12.75">
      <c r="A352" s="14" t="s">
        <v>1180</v>
      </c>
      <c r="B352" s="15" t="s">
        <v>957</v>
      </c>
      <c r="C352" s="2">
        <v>4</v>
      </c>
      <c r="E352" s="2">
        <f>2+1+4+1</f>
        <v>8</v>
      </c>
      <c r="G352" s="2">
        <f>-3+0+20-1</f>
        <v>16</v>
      </c>
      <c r="H352" s="17">
        <f t="shared" si="34"/>
        <v>2</v>
      </c>
      <c r="I352" s="2">
        <f>0+0+0+0</f>
        <v>0</v>
      </c>
      <c r="K352" s="18">
        <f t="shared" si="35"/>
        <v>4</v>
      </c>
    </row>
    <row r="353" spans="1:11" ht="12.75">
      <c r="A353" s="14" t="s">
        <v>240</v>
      </c>
      <c r="B353" s="15" t="s">
        <v>241</v>
      </c>
      <c r="C353" s="2">
        <v>1</v>
      </c>
      <c r="E353" s="2">
        <v>3</v>
      </c>
      <c r="G353" s="2">
        <v>15</v>
      </c>
      <c r="H353" s="17">
        <f t="shared" si="34"/>
        <v>5</v>
      </c>
      <c r="I353" s="2">
        <v>0</v>
      </c>
      <c r="K353" s="18">
        <f t="shared" si="35"/>
        <v>15</v>
      </c>
    </row>
    <row r="354" spans="1:11" ht="12.75">
      <c r="A354" s="14" t="s">
        <v>679</v>
      </c>
      <c r="B354" s="15" t="s">
        <v>675</v>
      </c>
      <c r="C354" s="2">
        <v>1</v>
      </c>
      <c r="E354" s="2">
        <f>6</f>
        <v>6</v>
      </c>
      <c r="G354" s="2">
        <f>15</f>
        <v>15</v>
      </c>
      <c r="H354" s="17">
        <f t="shared" si="34"/>
        <v>2.5</v>
      </c>
      <c r="I354" s="2">
        <f>0</f>
        <v>0</v>
      </c>
      <c r="K354" s="18">
        <f t="shared" si="35"/>
        <v>15</v>
      </c>
    </row>
    <row r="355" spans="1:11" ht="12.75">
      <c r="A355" s="14" t="s">
        <v>1882</v>
      </c>
      <c r="B355" s="15" t="s">
        <v>1883</v>
      </c>
      <c r="C355" s="2">
        <v>1</v>
      </c>
      <c r="E355" s="2">
        <v>2</v>
      </c>
      <c r="G355" s="2">
        <v>14</v>
      </c>
      <c r="H355" s="17">
        <f t="shared" si="34"/>
        <v>7</v>
      </c>
      <c r="I355" s="2">
        <v>0</v>
      </c>
      <c r="K355" s="18">
        <f t="shared" si="35"/>
        <v>14</v>
      </c>
    </row>
    <row r="356" spans="1:11" ht="12.75">
      <c r="A356" s="14" t="s">
        <v>1959</v>
      </c>
      <c r="B356" s="15" t="s">
        <v>1960</v>
      </c>
      <c r="C356" s="2">
        <v>1</v>
      </c>
      <c r="E356" s="2">
        <v>2</v>
      </c>
      <c r="G356" s="2">
        <v>13</v>
      </c>
      <c r="H356" s="17">
        <f t="shared" si="34"/>
        <v>6.5</v>
      </c>
      <c r="I356" s="2">
        <v>0</v>
      </c>
      <c r="K356" s="18">
        <f t="shared" si="35"/>
        <v>13</v>
      </c>
    </row>
    <row r="357" spans="1:11" ht="12.75">
      <c r="A357" s="15" t="s">
        <v>1192</v>
      </c>
      <c r="B357" s="15" t="s">
        <v>1194</v>
      </c>
      <c r="C357" s="2">
        <v>1</v>
      </c>
      <c r="E357" s="2">
        <v>6</v>
      </c>
      <c r="G357" s="2">
        <v>13</v>
      </c>
      <c r="H357" s="17">
        <f t="shared" si="34"/>
        <v>2.1666666666666665</v>
      </c>
      <c r="I357" s="2">
        <v>3</v>
      </c>
      <c r="K357" s="18">
        <f t="shared" si="35"/>
        <v>13</v>
      </c>
    </row>
    <row r="358" spans="1:11" ht="12.75">
      <c r="A358" s="14" t="s">
        <v>1022</v>
      </c>
      <c r="B358" s="15" t="s">
        <v>1015</v>
      </c>
      <c r="C358" s="2">
        <v>1</v>
      </c>
      <c r="E358" s="2">
        <v>5</v>
      </c>
      <c r="G358" s="2">
        <v>12</v>
      </c>
      <c r="H358" s="17">
        <f t="shared" si="34"/>
        <v>2.4</v>
      </c>
      <c r="I358" s="2">
        <v>0</v>
      </c>
      <c r="K358" s="18">
        <f t="shared" si="35"/>
        <v>12</v>
      </c>
    </row>
    <row r="359" spans="1:11" ht="12.75">
      <c r="A359" s="14" t="s">
        <v>1167</v>
      </c>
      <c r="B359" s="15" t="s">
        <v>1573</v>
      </c>
      <c r="C359" s="2">
        <v>3</v>
      </c>
      <c r="E359" s="2">
        <f>4+3+1</f>
        <v>8</v>
      </c>
      <c r="G359" s="2">
        <f>5+8-1</f>
        <v>12</v>
      </c>
      <c r="H359" s="17">
        <f t="shared" si="34"/>
        <v>1.5</v>
      </c>
      <c r="I359" s="2">
        <f>0+0+0</f>
        <v>0</v>
      </c>
      <c r="K359" s="18">
        <f t="shared" si="35"/>
        <v>4</v>
      </c>
    </row>
    <row r="360" spans="1:11" ht="12.75">
      <c r="A360" s="14" t="s">
        <v>1048</v>
      </c>
      <c r="B360" s="15" t="s">
        <v>1701</v>
      </c>
      <c r="C360" s="2">
        <v>2</v>
      </c>
      <c r="E360" s="2">
        <f>22+3</f>
        <v>25</v>
      </c>
      <c r="G360" s="2">
        <f>10+0</f>
        <v>10</v>
      </c>
      <c r="H360" s="17">
        <f t="shared" si="34"/>
        <v>0.4</v>
      </c>
      <c r="I360" s="2">
        <f>2+0</f>
        <v>2</v>
      </c>
      <c r="K360" s="18">
        <f t="shared" si="35"/>
        <v>5</v>
      </c>
    </row>
    <row r="361" spans="1:11" ht="12.75">
      <c r="A361" s="14" t="s">
        <v>1876</v>
      </c>
      <c r="B361" s="15" t="s">
        <v>876</v>
      </c>
      <c r="C361" s="2">
        <v>3</v>
      </c>
      <c r="E361" s="2">
        <f>1+2+1</f>
        <v>4</v>
      </c>
      <c r="G361" s="2">
        <f>1+5+3</f>
        <v>9</v>
      </c>
      <c r="H361" s="17">
        <f t="shared" si="34"/>
        <v>2.25</v>
      </c>
      <c r="I361" s="2">
        <f>1+1+0</f>
        <v>2</v>
      </c>
      <c r="K361" s="18">
        <f t="shared" si="35"/>
        <v>3</v>
      </c>
    </row>
    <row r="362" spans="1:11" ht="12.75">
      <c r="A362" s="14" t="s">
        <v>1161</v>
      </c>
      <c r="B362" s="15" t="s">
        <v>1070</v>
      </c>
      <c r="C362" s="2">
        <v>1</v>
      </c>
      <c r="E362" s="2">
        <v>3</v>
      </c>
      <c r="G362" s="2">
        <v>8</v>
      </c>
      <c r="H362" s="17">
        <f t="shared" si="34"/>
        <v>2.6666666666666665</v>
      </c>
      <c r="I362" s="2">
        <v>0</v>
      </c>
      <c r="K362" s="18">
        <f t="shared" si="35"/>
        <v>8</v>
      </c>
    </row>
    <row r="363" spans="1:11" ht="12.75">
      <c r="A363" s="14" t="s">
        <v>1976</v>
      </c>
      <c r="B363" s="15" t="s">
        <v>1977</v>
      </c>
      <c r="C363" s="2">
        <v>1</v>
      </c>
      <c r="E363" s="2">
        <v>10</v>
      </c>
      <c r="G363" s="2">
        <v>8</v>
      </c>
      <c r="H363" s="17">
        <f t="shared" si="34"/>
        <v>0.8</v>
      </c>
      <c r="I363" s="2">
        <v>0</v>
      </c>
      <c r="K363" s="18">
        <f t="shared" si="35"/>
        <v>8</v>
      </c>
    </row>
    <row r="364" spans="1:11" ht="12.75">
      <c r="A364" s="14" t="s">
        <v>729</v>
      </c>
      <c r="B364" s="15" t="s">
        <v>727</v>
      </c>
      <c r="C364" s="2">
        <v>1</v>
      </c>
      <c r="E364" s="2">
        <f>1</f>
        <v>1</v>
      </c>
      <c r="G364" s="2">
        <f>7</f>
        <v>7</v>
      </c>
      <c r="H364" s="17">
        <f t="shared" si="34"/>
        <v>7</v>
      </c>
      <c r="I364" s="2">
        <f>0</f>
        <v>0</v>
      </c>
      <c r="K364" s="18">
        <f t="shared" si="35"/>
        <v>7</v>
      </c>
    </row>
    <row r="365" spans="1:11" ht="12.75">
      <c r="A365" s="14" t="s">
        <v>1721</v>
      </c>
      <c r="B365" s="15" t="s">
        <v>1719</v>
      </c>
      <c r="C365" s="2">
        <v>1</v>
      </c>
      <c r="E365" s="2">
        <v>5</v>
      </c>
      <c r="G365" s="2">
        <v>7</v>
      </c>
      <c r="H365" s="17">
        <f t="shared" si="34"/>
        <v>1.4</v>
      </c>
      <c r="I365" s="2">
        <v>3</v>
      </c>
      <c r="K365" s="18">
        <f t="shared" si="35"/>
        <v>7</v>
      </c>
    </row>
    <row r="366" spans="1:11" ht="12.75">
      <c r="A366" s="14" t="s">
        <v>1081</v>
      </c>
      <c r="B366" s="15" t="s">
        <v>13</v>
      </c>
      <c r="C366" s="2">
        <v>2</v>
      </c>
      <c r="E366" s="2">
        <f>8+11</f>
        <v>19</v>
      </c>
      <c r="G366" s="2">
        <f>-8+15</f>
        <v>7</v>
      </c>
      <c r="H366" s="17">
        <f t="shared" si="34"/>
        <v>0.3684210526315789</v>
      </c>
      <c r="I366" s="2">
        <f>0+0</f>
        <v>0</v>
      </c>
      <c r="K366" s="18">
        <f t="shared" si="35"/>
        <v>3.5</v>
      </c>
    </row>
    <row r="367" spans="1:11" ht="12.75">
      <c r="A367" s="14" t="s">
        <v>3</v>
      </c>
      <c r="B367" s="15" t="s">
        <v>1980</v>
      </c>
      <c r="C367" s="2">
        <v>1</v>
      </c>
      <c r="E367" s="2">
        <v>1</v>
      </c>
      <c r="G367" s="2">
        <v>6</v>
      </c>
      <c r="H367" s="17">
        <f t="shared" si="34"/>
        <v>6</v>
      </c>
      <c r="I367" s="2">
        <v>0</v>
      </c>
      <c r="K367" s="18">
        <f t="shared" si="35"/>
        <v>6</v>
      </c>
    </row>
    <row r="368" spans="1:11" ht="12.75">
      <c r="A368" s="14" t="s">
        <v>1969</v>
      </c>
      <c r="B368" s="15" t="s">
        <v>1970</v>
      </c>
      <c r="C368" s="2">
        <v>1</v>
      </c>
      <c r="E368" s="2">
        <v>5</v>
      </c>
      <c r="G368" s="2">
        <v>6</v>
      </c>
      <c r="H368" s="17">
        <f aca="true" t="shared" si="36" ref="H368:H413">G368/E368</f>
        <v>1.2</v>
      </c>
      <c r="I368" s="2">
        <v>0</v>
      </c>
      <c r="K368" s="18">
        <f aca="true" t="shared" si="37" ref="K368:K413">IF(C368=0,0,G368/C368)</f>
        <v>6</v>
      </c>
    </row>
    <row r="369" spans="1:11" ht="12.75">
      <c r="A369" s="14" t="s">
        <v>631</v>
      </c>
      <c r="B369" s="15" t="s">
        <v>1862</v>
      </c>
      <c r="C369" s="2">
        <v>2</v>
      </c>
      <c r="E369" s="2">
        <f>3+1</f>
        <v>4</v>
      </c>
      <c r="G369" s="2">
        <f>-2+8</f>
        <v>6</v>
      </c>
      <c r="H369" s="17">
        <f t="shared" si="36"/>
        <v>1.5</v>
      </c>
      <c r="I369" s="2">
        <f>0+0</f>
        <v>0</v>
      </c>
      <c r="K369" s="18">
        <f t="shared" si="37"/>
        <v>3</v>
      </c>
    </row>
    <row r="370" spans="1:11" ht="12.75">
      <c r="A370" s="14" t="s">
        <v>1178</v>
      </c>
      <c r="B370" s="15" t="s">
        <v>1041</v>
      </c>
      <c r="C370" s="2">
        <v>2</v>
      </c>
      <c r="E370" s="2">
        <f>4+1</f>
        <v>5</v>
      </c>
      <c r="G370" s="2">
        <f>8-2</f>
        <v>6</v>
      </c>
      <c r="H370" s="17">
        <f t="shared" si="36"/>
        <v>1.2</v>
      </c>
      <c r="I370" s="2">
        <f>0+0</f>
        <v>0</v>
      </c>
      <c r="K370" s="18">
        <f t="shared" si="37"/>
        <v>3</v>
      </c>
    </row>
    <row r="371" spans="1:11" ht="12.75">
      <c r="A371" s="14" t="s">
        <v>341</v>
      </c>
      <c r="B371" s="15" t="s">
        <v>563</v>
      </c>
      <c r="C371" s="2">
        <v>2</v>
      </c>
      <c r="E371" s="2">
        <f>2+4</f>
        <v>6</v>
      </c>
      <c r="G371" s="2">
        <f>-2+8</f>
        <v>6</v>
      </c>
      <c r="H371" s="17">
        <f t="shared" si="36"/>
        <v>1</v>
      </c>
      <c r="I371" s="2">
        <f>0+0</f>
        <v>0</v>
      </c>
      <c r="K371" s="18">
        <f t="shared" si="37"/>
        <v>3</v>
      </c>
    </row>
    <row r="372" spans="1:11" ht="12.75">
      <c r="A372" s="14" t="s">
        <v>1165</v>
      </c>
      <c r="B372" s="15" t="s">
        <v>1045</v>
      </c>
      <c r="C372" s="2">
        <v>1</v>
      </c>
      <c r="E372" s="2">
        <v>3</v>
      </c>
      <c r="G372" s="2">
        <v>5</v>
      </c>
      <c r="H372" s="17">
        <f t="shared" si="36"/>
        <v>1.6666666666666667</v>
      </c>
      <c r="I372" s="2">
        <v>1</v>
      </c>
      <c r="K372" s="18">
        <f t="shared" si="37"/>
        <v>5</v>
      </c>
    </row>
    <row r="373" spans="1:11" ht="12.75">
      <c r="A373" s="14" t="s">
        <v>256</v>
      </c>
      <c r="B373" s="15" t="s">
        <v>254</v>
      </c>
      <c r="C373" s="2">
        <v>1</v>
      </c>
      <c r="E373" s="2">
        <v>4</v>
      </c>
      <c r="G373" s="2">
        <v>5</v>
      </c>
      <c r="H373" s="17">
        <f t="shared" si="36"/>
        <v>1.25</v>
      </c>
      <c r="I373" s="2">
        <v>2</v>
      </c>
      <c r="K373" s="18">
        <f t="shared" si="37"/>
        <v>5</v>
      </c>
    </row>
    <row r="374" spans="1:11" ht="12.75">
      <c r="A374" s="14" t="s">
        <v>541</v>
      </c>
      <c r="B374" s="15" t="s">
        <v>542</v>
      </c>
      <c r="C374" s="2">
        <v>1</v>
      </c>
      <c r="E374" s="2">
        <f>6</f>
        <v>6</v>
      </c>
      <c r="G374" s="2">
        <f>5</f>
        <v>5</v>
      </c>
      <c r="H374" s="17">
        <f t="shared" si="36"/>
        <v>0.8333333333333334</v>
      </c>
      <c r="I374" s="2">
        <f>0</f>
        <v>0</v>
      </c>
      <c r="K374" s="18">
        <f t="shared" si="37"/>
        <v>5</v>
      </c>
    </row>
    <row r="375" spans="1:11" ht="12.75">
      <c r="A375" s="15" t="s">
        <v>1195</v>
      </c>
      <c r="B375" s="15" t="s">
        <v>1196</v>
      </c>
      <c r="C375" s="2">
        <v>1</v>
      </c>
      <c r="E375" s="2">
        <v>8</v>
      </c>
      <c r="G375" s="2">
        <v>5</v>
      </c>
      <c r="H375" s="17">
        <f t="shared" si="36"/>
        <v>0.625</v>
      </c>
      <c r="I375" s="2">
        <v>2</v>
      </c>
      <c r="K375" s="18">
        <f t="shared" si="37"/>
        <v>5</v>
      </c>
    </row>
    <row r="376" spans="1:11" ht="12.75">
      <c r="A376" s="14" t="s">
        <v>9</v>
      </c>
      <c r="B376" s="15" t="s">
        <v>1992</v>
      </c>
      <c r="C376" s="2">
        <v>1</v>
      </c>
      <c r="E376" s="2">
        <v>1</v>
      </c>
      <c r="G376" s="2">
        <v>4</v>
      </c>
      <c r="H376" s="17">
        <f t="shared" si="36"/>
        <v>4</v>
      </c>
      <c r="I376" s="2">
        <v>0</v>
      </c>
      <c r="K376" s="18">
        <f t="shared" si="37"/>
        <v>4</v>
      </c>
    </row>
    <row r="377" spans="1:11" ht="12.75">
      <c r="A377" s="14" t="s">
        <v>740</v>
      </c>
      <c r="B377" s="15" t="s">
        <v>741</v>
      </c>
      <c r="C377" s="2">
        <v>1</v>
      </c>
      <c r="E377" s="2">
        <f>1</f>
        <v>1</v>
      </c>
      <c r="G377" s="2">
        <f>4</f>
        <v>4</v>
      </c>
      <c r="H377" s="17">
        <f t="shared" si="36"/>
        <v>4</v>
      </c>
      <c r="I377" s="2">
        <f>0</f>
        <v>0</v>
      </c>
      <c r="K377" s="18">
        <f t="shared" si="37"/>
        <v>4</v>
      </c>
    </row>
    <row r="378" spans="1:11" ht="12.75">
      <c r="A378" s="14" t="s">
        <v>757</v>
      </c>
      <c r="B378" s="15" t="s">
        <v>755</v>
      </c>
      <c r="C378" s="2">
        <v>1</v>
      </c>
      <c r="E378" s="2">
        <f>1</f>
        <v>1</v>
      </c>
      <c r="G378" s="2">
        <f>4</f>
        <v>4</v>
      </c>
      <c r="H378" s="17">
        <f t="shared" si="36"/>
        <v>4</v>
      </c>
      <c r="I378" s="2">
        <f>0</f>
        <v>0</v>
      </c>
      <c r="K378" s="18">
        <f t="shared" si="37"/>
        <v>4</v>
      </c>
    </row>
    <row r="379" spans="1:11" ht="12.75">
      <c r="A379" s="14" t="s">
        <v>417</v>
      </c>
      <c r="B379" s="15" t="s">
        <v>418</v>
      </c>
      <c r="C379" s="2">
        <v>1</v>
      </c>
      <c r="E379" s="2">
        <v>2</v>
      </c>
      <c r="G379" s="2">
        <v>4</v>
      </c>
      <c r="H379" s="17">
        <f t="shared" si="36"/>
        <v>2</v>
      </c>
      <c r="I379" s="2">
        <v>0</v>
      </c>
      <c r="K379" s="18">
        <f t="shared" si="37"/>
        <v>4</v>
      </c>
    </row>
    <row r="380" spans="1:11" ht="12.75">
      <c r="A380" s="14" t="s">
        <v>56</v>
      </c>
      <c r="B380" s="15" t="s">
        <v>54</v>
      </c>
      <c r="C380" s="2">
        <v>1</v>
      </c>
      <c r="E380" s="2">
        <f>1</f>
        <v>1</v>
      </c>
      <c r="G380" s="2">
        <f>2</f>
        <v>2</v>
      </c>
      <c r="H380" s="17">
        <f t="shared" si="36"/>
        <v>2</v>
      </c>
      <c r="I380" s="2">
        <f>0</f>
        <v>0</v>
      </c>
      <c r="K380" s="18">
        <f t="shared" si="37"/>
        <v>2</v>
      </c>
    </row>
    <row r="381" spans="1:11" ht="12.75">
      <c r="A381" s="14" t="s">
        <v>1173</v>
      </c>
      <c r="B381" s="15" t="s">
        <v>1186</v>
      </c>
      <c r="C381" s="2">
        <v>1</v>
      </c>
      <c r="E381" s="2">
        <v>9</v>
      </c>
      <c r="G381" s="2">
        <v>2</v>
      </c>
      <c r="H381" s="17">
        <f t="shared" si="36"/>
        <v>0.2222222222222222</v>
      </c>
      <c r="I381" s="2">
        <v>2</v>
      </c>
      <c r="K381" s="18">
        <f t="shared" si="37"/>
        <v>2</v>
      </c>
    </row>
    <row r="382" spans="1:11" ht="12.75">
      <c r="A382" s="14" t="s">
        <v>1778</v>
      </c>
      <c r="B382" s="15" t="s">
        <v>2022</v>
      </c>
      <c r="C382" s="2">
        <v>1</v>
      </c>
      <c r="E382" s="2">
        <v>1</v>
      </c>
      <c r="G382" s="2">
        <v>1</v>
      </c>
      <c r="H382" s="17">
        <f t="shared" si="36"/>
        <v>1</v>
      </c>
      <c r="I382" s="2">
        <v>0</v>
      </c>
      <c r="K382" s="18">
        <f t="shared" si="37"/>
        <v>1</v>
      </c>
    </row>
    <row r="383" spans="1:11" ht="12.75">
      <c r="A383" s="14" t="s">
        <v>21</v>
      </c>
      <c r="B383" s="15" t="s">
        <v>20</v>
      </c>
      <c r="C383" s="2">
        <v>1</v>
      </c>
      <c r="E383" s="2">
        <v>1</v>
      </c>
      <c r="G383" s="2">
        <v>1</v>
      </c>
      <c r="H383" s="17">
        <f t="shared" si="36"/>
        <v>1</v>
      </c>
      <c r="I383" s="2">
        <v>0</v>
      </c>
      <c r="K383" s="18">
        <f t="shared" si="37"/>
        <v>1</v>
      </c>
    </row>
    <row r="384" spans="1:11" ht="12.75">
      <c r="A384" s="14" t="s">
        <v>514</v>
      </c>
      <c r="B384" s="15" t="s">
        <v>69</v>
      </c>
      <c r="C384" s="2">
        <v>1</v>
      </c>
      <c r="E384" s="2">
        <f>1</f>
        <v>1</v>
      </c>
      <c r="G384" s="2">
        <f>1</f>
        <v>1</v>
      </c>
      <c r="H384" s="17">
        <f t="shared" si="36"/>
        <v>1</v>
      </c>
      <c r="I384" s="2">
        <f>1</f>
        <v>1</v>
      </c>
      <c r="K384" s="18">
        <f t="shared" si="37"/>
        <v>1</v>
      </c>
    </row>
    <row r="385" spans="1:11" ht="12.75">
      <c r="A385" s="14" t="s">
        <v>1987</v>
      </c>
      <c r="B385" s="15" t="s">
        <v>456</v>
      </c>
      <c r="C385" s="2">
        <v>1</v>
      </c>
      <c r="E385" s="2">
        <v>2</v>
      </c>
      <c r="G385" s="2">
        <v>1</v>
      </c>
      <c r="H385" s="17">
        <f t="shared" si="36"/>
        <v>0.5</v>
      </c>
      <c r="I385" s="2">
        <v>0</v>
      </c>
      <c r="K385" s="18">
        <f t="shared" si="37"/>
        <v>1</v>
      </c>
    </row>
    <row r="386" spans="1:11" ht="12.75">
      <c r="A386" s="14" t="s">
        <v>257</v>
      </c>
      <c r="B386" s="15" t="s">
        <v>588</v>
      </c>
      <c r="C386" s="2">
        <v>2</v>
      </c>
      <c r="E386" s="2">
        <f>1+2</f>
        <v>3</v>
      </c>
      <c r="G386" s="2">
        <f>0+1</f>
        <v>1</v>
      </c>
      <c r="H386" s="17">
        <f t="shared" si="36"/>
        <v>0.3333333333333333</v>
      </c>
      <c r="I386" s="2">
        <f>0+0</f>
        <v>0</v>
      </c>
      <c r="K386" s="18">
        <f t="shared" si="37"/>
        <v>0.5</v>
      </c>
    </row>
    <row r="387" spans="1:11" ht="12.75">
      <c r="A387" s="14" t="s">
        <v>1742</v>
      </c>
      <c r="B387" s="15" t="s">
        <v>1962</v>
      </c>
      <c r="C387" s="2">
        <v>2</v>
      </c>
      <c r="E387" s="2">
        <f>2+5</f>
        <v>7</v>
      </c>
      <c r="G387" s="2">
        <f>1+0</f>
        <v>1</v>
      </c>
      <c r="H387" s="17">
        <f t="shared" si="36"/>
        <v>0.14285714285714285</v>
      </c>
      <c r="I387" s="2">
        <f>0+1</f>
        <v>1</v>
      </c>
      <c r="K387" s="18">
        <f t="shared" si="37"/>
        <v>0.5</v>
      </c>
    </row>
    <row r="388" spans="1:11" ht="12.75">
      <c r="A388" s="14" t="s">
        <v>1822</v>
      </c>
      <c r="B388" s="15" t="s">
        <v>1981</v>
      </c>
      <c r="C388" s="2">
        <v>2</v>
      </c>
      <c r="E388" s="2">
        <f>1+6</f>
        <v>7</v>
      </c>
      <c r="G388" s="2">
        <f>-1+2</f>
        <v>1</v>
      </c>
      <c r="H388" s="17">
        <f t="shared" si="36"/>
        <v>0.14285714285714285</v>
      </c>
      <c r="I388" s="2">
        <f>0+1</f>
        <v>1</v>
      </c>
      <c r="K388" s="18">
        <f t="shared" si="37"/>
        <v>0.5</v>
      </c>
    </row>
    <row r="389" spans="1:11" ht="12.75">
      <c r="A389" s="14" t="s">
        <v>1190</v>
      </c>
      <c r="B389" s="15" t="s">
        <v>1191</v>
      </c>
      <c r="C389" s="2">
        <v>1</v>
      </c>
      <c r="E389" s="2">
        <v>1</v>
      </c>
      <c r="G389" s="2">
        <v>0</v>
      </c>
      <c r="H389" s="17">
        <f t="shared" si="36"/>
        <v>0</v>
      </c>
      <c r="I389" s="2">
        <v>0</v>
      </c>
      <c r="K389" s="18">
        <f t="shared" si="37"/>
        <v>0</v>
      </c>
    </row>
    <row r="390" spans="1:11" ht="12.75">
      <c r="A390" s="14" t="s">
        <v>1745</v>
      </c>
      <c r="B390" s="15" t="s">
        <v>1743</v>
      </c>
      <c r="C390" s="2">
        <v>1</v>
      </c>
      <c r="E390" s="2">
        <v>1</v>
      </c>
      <c r="G390" s="2">
        <v>0</v>
      </c>
      <c r="H390" s="17">
        <f t="shared" si="36"/>
        <v>0</v>
      </c>
      <c r="I390" s="2">
        <v>0</v>
      </c>
      <c r="K390" s="18">
        <f t="shared" si="37"/>
        <v>0</v>
      </c>
    </row>
    <row r="391" spans="1:11" ht="12.75">
      <c r="A391" s="14" t="s">
        <v>1855</v>
      </c>
      <c r="B391" s="15" t="s">
        <v>1854</v>
      </c>
      <c r="C391" s="2">
        <v>1</v>
      </c>
      <c r="E391" s="2">
        <v>1</v>
      </c>
      <c r="G391" s="2">
        <v>0</v>
      </c>
      <c r="H391" s="17">
        <f t="shared" si="36"/>
        <v>0</v>
      </c>
      <c r="I391" s="2">
        <v>0</v>
      </c>
      <c r="K391" s="18">
        <f t="shared" si="37"/>
        <v>0</v>
      </c>
    </row>
    <row r="392" spans="1:11" ht="12.75">
      <c r="A392" s="14" t="s">
        <v>1957</v>
      </c>
      <c r="B392" s="15" t="s">
        <v>1958</v>
      </c>
      <c r="C392" s="2">
        <v>1</v>
      </c>
      <c r="E392" s="2">
        <v>1</v>
      </c>
      <c r="G392" s="2">
        <v>0</v>
      </c>
      <c r="H392" s="17">
        <f t="shared" si="36"/>
        <v>0</v>
      </c>
      <c r="I392" s="2">
        <v>0</v>
      </c>
      <c r="K392" s="18">
        <f t="shared" si="37"/>
        <v>0</v>
      </c>
    </row>
    <row r="393" spans="1:11" ht="12.75">
      <c r="A393" s="14" t="s">
        <v>1805</v>
      </c>
      <c r="B393" s="15" t="s">
        <v>297</v>
      </c>
      <c r="C393" s="2">
        <v>1</v>
      </c>
      <c r="E393" s="2">
        <f>1</f>
        <v>1</v>
      </c>
      <c r="G393" s="2">
        <f>0</f>
        <v>0</v>
      </c>
      <c r="H393" s="17">
        <f t="shared" si="36"/>
        <v>0</v>
      </c>
      <c r="I393" s="2">
        <f>0</f>
        <v>0</v>
      </c>
      <c r="K393" s="18">
        <f t="shared" si="37"/>
        <v>0</v>
      </c>
    </row>
    <row r="394" spans="1:11" ht="12.75">
      <c r="A394" s="14" t="s">
        <v>877</v>
      </c>
      <c r="B394" s="15" t="s">
        <v>878</v>
      </c>
      <c r="C394" s="2">
        <v>1</v>
      </c>
      <c r="E394" s="2">
        <f>1</f>
        <v>1</v>
      </c>
      <c r="G394" s="2">
        <f>0</f>
        <v>0</v>
      </c>
      <c r="H394" s="17">
        <f t="shared" si="36"/>
        <v>0</v>
      </c>
      <c r="I394" s="2">
        <f>0</f>
        <v>0</v>
      </c>
      <c r="K394" s="18">
        <f t="shared" si="37"/>
        <v>0</v>
      </c>
    </row>
    <row r="395" spans="1:11" ht="12.75">
      <c r="A395" s="14" t="s">
        <v>1844</v>
      </c>
      <c r="B395" s="15" t="s">
        <v>1843</v>
      </c>
      <c r="C395" s="2">
        <v>1</v>
      </c>
      <c r="E395" s="2">
        <v>4</v>
      </c>
      <c r="G395" s="2">
        <v>-1</v>
      </c>
      <c r="H395" s="17">
        <f t="shared" si="36"/>
        <v>-0.25</v>
      </c>
      <c r="I395" s="2">
        <v>0</v>
      </c>
      <c r="K395" s="18">
        <f t="shared" si="37"/>
        <v>-1</v>
      </c>
    </row>
    <row r="396" spans="1:11" ht="12.75">
      <c r="A396" s="14" t="s">
        <v>343</v>
      </c>
      <c r="B396" s="15" t="s">
        <v>342</v>
      </c>
      <c r="C396" s="2">
        <v>1</v>
      </c>
      <c r="E396" s="2">
        <v>2</v>
      </c>
      <c r="G396" s="2">
        <v>-1</v>
      </c>
      <c r="H396" s="17">
        <f t="shared" si="36"/>
        <v>-0.5</v>
      </c>
      <c r="I396" s="2">
        <v>0</v>
      </c>
      <c r="K396" s="18">
        <f t="shared" si="37"/>
        <v>-1</v>
      </c>
    </row>
    <row r="397" spans="1:11" ht="12.75">
      <c r="A397" s="14" t="s">
        <v>1177</v>
      </c>
      <c r="B397" s="15" t="s">
        <v>1064</v>
      </c>
      <c r="C397" s="2">
        <v>1</v>
      </c>
      <c r="E397" s="2">
        <v>1</v>
      </c>
      <c r="G397" s="2">
        <v>-1</v>
      </c>
      <c r="H397" s="17">
        <f t="shared" si="36"/>
        <v>-1</v>
      </c>
      <c r="I397" s="2">
        <v>0</v>
      </c>
      <c r="K397" s="18">
        <f t="shared" si="37"/>
        <v>-1</v>
      </c>
    </row>
    <row r="398" spans="1:11" ht="12.75">
      <c r="A398" s="14" t="s">
        <v>1366</v>
      </c>
      <c r="B398" s="15" t="s">
        <v>2014</v>
      </c>
      <c r="C398" s="2">
        <v>1</v>
      </c>
      <c r="E398" s="2">
        <v>1</v>
      </c>
      <c r="G398" s="2">
        <v>-1</v>
      </c>
      <c r="H398" s="17">
        <f t="shared" si="36"/>
        <v>-1</v>
      </c>
      <c r="I398" s="2">
        <v>0</v>
      </c>
      <c r="K398" s="18">
        <f t="shared" si="37"/>
        <v>-1</v>
      </c>
    </row>
    <row r="399" spans="1:11" ht="12.75">
      <c r="A399" s="14" t="s">
        <v>18</v>
      </c>
      <c r="B399" s="15" t="s">
        <v>2001</v>
      </c>
      <c r="C399" s="2">
        <v>1</v>
      </c>
      <c r="E399" s="2">
        <v>1</v>
      </c>
      <c r="G399" s="2">
        <v>-1</v>
      </c>
      <c r="H399" s="17">
        <f t="shared" si="36"/>
        <v>-1</v>
      </c>
      <c r="I399" s="2">
        <v>0</v>
      </c>
      <c r="K399" s="18">
        <f t="shared" si="37"/>
        <v>-1</v>
      </c>
    </row>
    <row r="400" spans="1:11" ht="12.75">
      <c r="A400" s="14" t="s">
        <v>97</v>
      </c>
      <c r="B400" s="15" t="s">
        <v>98</v>
      </c>
      <c r="C400" s="2">
        <v>1</v>
      </c>
      <c r="E400" s="2">
        <f>1</f>
        <v>1</v>
      </c>
      <c r="G400" s="2">
        <f>-1</f>
        <v>-1</v>
      </c>
      <c r="H400" s="17">
        <f t="shared" si="36"/>
        <v>-1</v>
      </c>
      <c r="I400" s="2">
        <f>0</f>
        <v>0</v>
      </c>
      <c r="K400" s="18">
        <f t="shared" si="37"/>
        <v>-1</v>
      </c>
    </row>
    <row r="401" spans="1:11" ht="12.75">
      <c r="A401" s="14" t="s">
        <v>1985</v>
      </c>
      <c r="B401" s="15" t="s">
        <v>825</v>
      </c>
      <c r="C401" s="2">
        <v>2</v>
      </c>
      <c r="E401" s="2">
        <f>1+2</f>
        <v>3</v>
      </c>
      <c r="G401" s="2">
        <f>0-2</f>
        <v>-2</v>
      </c>
      <c r="H401" s="17">
        <f t="shared" si="36"/>
        <v>-0.6666666666666666</v>
      </c>
      <c r="I401" s="2">
        <f>0+0</f>
        <v>0</v>
      </c>
      <c r="K401" s="18">
        <f t="shared" si="37"/>
        <v>-1</v>
      </c>
    </row>
    <row r="402" spans="1:11" ht="12.75">
      <c r="A402" s="14" t="s">
        <v>19</v>
      </c>
      <c r="B402" s="15" t="s">
        <v>20</v>
      </c>
      <c r="C402" s="2">
        <v>1</v>
      </c>
      <c r="E402" s="2">
        <v>4</v>
      </c>
      <c r="G402" s="2">
        <v>-2</v>
      </c>
      <c r="H402" s="17">
        <f t="shared" si="36"/>
        <v>-0.5</v>
      </c>
      <c r="I402" s="2">
        <v>0</v>
      </c>
      <c r="K402" s="18">
        <f t="shared" si="37"/>
        <v>-2</v>
      </c>
    </row>
    <row r="403" spans="1:11" ht="12.75">
      <c r="A403" s="14" t="s">
        <v>364</v>
      </c>
      <c r="B403" s="15" t="s">
        <v>365</v>
      </c>
      <c r="C403" s="2">
        <v>1</v>
      </c>
      <c r="E403" s="2">
        <v>2</v>
      </c>
      <c r="G403" s="2">
        <v>-2</v>
      </c>
      <c r="H403" s="17">
        <f t="shared" si="36"/>
        <v>-1</v>
      </c>
      <c r="I403" s="2">
        <v>0</v>
      </c>
      <c r="K403" s="18">
        <f t="shared" si="37"/>
        <v>-2</v>
      </c>
    </row>
    <row r="404" spans="1:11" ht="12.75">
      <c r="A404" s="14" t="s">
        <v>528</v>
      </c>
      <c r="B404" s="15" t="s">
        <v>639</v>
      </c>
      <c r="C404" s="2">
        <v>2</v>
      </c>
      <c r="E404" s="2">
        <f>1+2</f>
        <v>3</v>
      </c>
      <c r="G404" s="2">
        <f>-1-2</f>
        <v>-3</v>
      </c>
      <c r="H404" s="17">
        <f t="shared" si="36"/>
        <v>-1</v>
      </c>
      <c r="I404" s="2">
        <f>0+0</f>
        <v>0</v>
      </c>
      <c r="K404" s="18">
        <f t="shared" si="37"/>
        <v>-1.5</v>
      </c>
    </row>
    <row r="405" spans="1:11" ht="12.75">
      <c r="A405" s="14" t="s">
        <v>486</v>
      </c>
      <c r="B405" s="15" t="s">
        <v>944</v>
      </c>
      <c r="C405" s="2">
        <v>2</v>
      </c>
      <c r="E405" s="2">
        <f>1+2</f>
        <v>3</v>
      </c>
      <c r="G405" s="2">
        <f>-1-2</f>
        <v>-3</v>
      </c>
      <c r="H405" s="17">
        <f t="shared" si="36"/>
        <v>-1</v>
      </c>
      <c r="I405" s="2">
        <f>0+0</f>
        <v>0</v>
      </c>
      <c r="K405" s="18">
        <f t="shared" si="37"/>
        <v>-1.5</v>
      </c>
    </row>
    <row r="406" spans="1:11" ht="12.75">
      <c r="A406" s="14" t="s">
        <v>1181</v>
      </c>
      <c r="B406" s="15" t="s">
        <v>1015</v>
      </c>
      <c r="C406" s="2">
        <v>1</v>
      </c>
      <c r="E406" s="2">
        <v>1</v>
      </c>
      <c r="G406" s="2">
        <v>-3</v>
      </c>
      <c r="H406" s="17">
        <f t="shared" si="36"/>
        <v>-3</v>
      </c>
      <c r="I406" s="2">
        <v>0</v>
      </c>
      <c r="K406" s="18">
        <f t="shared" si="37"/>
        <v>-3</v>
      </c>
    </row>
    <row r="407" spans="1:11" ht="12.75">
      <c r="A407" s="14" t="s">
        <v>1910</v>
      </c>
      <c r="B407" s="15" t="s">
        <v>1909</v>
      </c>
      <c r="C407" s="2">
        <v>1</v>
      </c>
      <c r="E407" s="2">
        <v>4</v>
      </c>
      <c r="G407" s="2">
        <v>-4</v>
      </c>
      <c r="H407" s="17">
        <f t="shared" si="36"/>
        <v>-1</v>
      </c>
      <c r="I407" s="2">
        <v>0</v>
      </c>
      <c r="K407" s="18">
        <f t="shared" si="37"/>
        <v>-4</v>
      </c>
    </row>
    <row r="408" spans="1:11" ht="12.75">
      <c r="A408" s="14" t="s">
        <v>1853</v>
      </c>
      <c r="B408" s="15" t="s">
        <v>1989</v>
      </c>
      <c r="C408" s="2">
        <v>2</v>
      </c>
      <c r="E408" s="2">
        <f>10+18</f>
        <v>28</v>
      </c>
      <c r="G408" s="2">
        <f>4-9</f>
        <v>-5</v>
      </c>
      <c r="H408" s="17">
        <f t="shared" si="36"/>
        <v>-0.17857142857142858</v>
      </c>
      <c r="I408" s="2">
        <f>0+2</f>
        <v>2</v>
      </c>
      <c r="K408" s="18">
        <f t="shared" si="37"/>
        <v>-2.5</v>
      </c>
    </row>
    <row r="409" spans="1:11" ht="12.75">
      <c r="A409" s="14" t="s">
        <v>1073</v>
      </c>
      <c r="B409" s="15" t="s">
        <v>1015</v>
      </c>
      <c r="C409" s="2">
        <v>1</v>
      </c>
      <c r="E409" s="2">
        <v>6</v>
      </c>
      <c r="G409" s="2">
        <v>-6</v>
      </c>
      <c r="H409" s="17">
        <f t="shared" si="36"/>
        <v>-1</v>
      </c>
      <c r="I409" s="2">
        <v>0</v>
      </c>
      <c r="K409" s="18">
        <f t="shared" si="37"/>
        <v>-6</v>
      </c>
    </row>
    <row r="410" spans="1:11" ht="12.75">
      <c r="A410" s="14" t="s">
        <v>1734</v>
      </c>
      <c r="B410" s="15" t="s">
        <v>1732</v>
      </c>
      <c r="C410" s="2">
        <v>1</v>
      </c>
      <c r="E410" s="2">
        <v>7</v>
      </c>
      <c r="G410" s="2">
        <v>-7</v>
      </c>
      <c r="H410" s="17">
        <f t="shared" si="36"/>
        <v>-1</v>
      </c>
      <c r="I410" s="2">
        <v>0</v>
      </c>
      <c r="K410" s="18">
        <f t="shared" si="37"/>
        <v>-7</v>
      </c>
    </row>
    <row r="411" spans="1:11" ht="12.75">
      <c r="A411" s="14" t="s">
        <v>786</v>
      </c>
      <c r="B411" s="15" t="s">
        <v>787</v>
      </c>
      <c r="C411" s="2">
        <v>1</v>
      </c>
      <c r="E411" s="2">
        <f>23</f>
        <v>23</v>
      </c>
      <c r="G411" s="2">
        <f>-10</f>
        <v>-10</v>
      </c>
      <c r="H411" s="17">
        <f t="shared" si="36"/>
        <v>-0.43478260869565216</v>
      </c>
      <c r="I411" s="2">
        <f>0</f>
        <v>0</v>
      </c>
      <c r="K411" s="18">
        <f t="shared" si="37"/>
        <v>-10</v>
      </c>
    </row>
    <row r="412" spans="1:11" ht="12.75">
      <c r="A412" s="14" t="s">
        <v>1042</v>
      </c>
      <c r="B412" s="15" t="s">
        <v>1043</v>
      </c>
      <c r="C412" s="2">
        <v>2</v>
      </c>
      <c r="E412" s="2">
        <f>1+25</f>
        <v>26</v>
      </c>
      <c r="G412" s="2">
        <f>-1-18</f>
        <v>-19</v>
      </c>
      <c r="H412" s="17">
        <f t="shared" si="36"/>
        <v>-0.7307692307692307</v>
      </c>
      <c r="I412" s="2">
        <f>0+0</f>
        <v>0</v>
      </c>
      <c r="K412" s="18">
        <f t="shared" si="37"/>
        <v>-9.5</v>
      </c>
    </row>
    <row r="413" spans="1:11" ht="12.75">
      <c r="A413" s="14" t="s">
        <v>1038</v>
      </c>
      <c r="B413" s="15" t="s">
        <v>1971</v>
      </c>
      <c r="C413" s="2">
        <v>4</v>
      </c>
      <c r="E413" s="2">
        <f>21+23+6+1</f>
        <v>51</v>
      </c>
      <c r="G413" s="2">
        <f>-19-17+15+0</f>
        <v>-21</v>
      </c>
      <c r="H413" s="17">
        <f t="shared" si="36"/>
        <v>-0.4117647058823529</v>
      </c>
      <c r="I413" s="2">
        <f>0+0+0+0</f>
        <v>0</v>
      </c>
      <c r="K413" s="18">
        <f t="shared" si="37"/>
        <v>-5.25</v>
      </c>
    </row>
    <row r="414" spans="1:11" ht="12.75">
      <c r="A414" s="14"/>
      <c r="B414" s="15"/>
      <c r="E414" s="2"/>
      <c r="G414" s="2"/>
      <c r="H414" s="17"/>
      <c r="I414" s="2"/>
      <c r="K414" s="18"/>
    </row>
    <row r="415" spans="1:9" ht="12.75">
      <c r="A415" s="21" t="s">
        <v>998</v>
      </c>
      <c r="B415" s="22"/>
      <c r="C415" s="23"/>
      <c r="D415" s="24"/>
      <c r="E415" s="23">
        <f>SUM(E112:E414)</f>
        <v>69447</v>
      </c>
      <c r="F415" s="25"/>
      <c r="G415" s="23">
        <f>SUM(G112:G414)</f>
        <v>301036</v>
      </c>
      <c r="H415" s="27">
        <f>IF(E415=0,0,G415/E415)</f>
        <v>4.334758880873184</v>
      </c>
      <c r="I415" s="23">
        <f>SUM(I112:I414)</f>
        <v>2398</v>
      </c>
    </row>
    <row r="416" spans="1:8" ht="12.75">
      <c r="A416" s="14"/>
      <c r="B416" s="15"/>
      <c r="H416" s="18"/>
    </row>
    <row r="417" spans="1:2" ht="12.75">
      <c r="A417" s="14"/>
      <c r="B417" s="15"/>
    </row>
    <row r="418" spans="1:2" ht="12.75">
      <c r="A418" s="14"/>
      <c r="B418" s="15"/>
    </row>
    <row r="419" spans="1:11" ht="15.75">
      <c r="A419" s="5" t="s">
        <v>1002</v>
      </c>
      <c r="B419" s="6"/>
      <c r="C419" s="7" t="s">
        <v>1036</v>
      </c>
      <c r="D419" s="8"/>
      <c r="E419" s="9" t="s">
        <v>1003</v>
      </c>
      <c r="F419" s="9"/>
      <c r="G419" s="9" t="s">
        <v>989</v>
      </c>
      <c r="H419" s="9" t="s">
        <v>1004</v>
      </c>
      <c r="I419" s="9" t="s">
        <v>990</v>
      </c>
      <c r="K419" s="9" t="s">
        <v>1944</v>
      </c>
    </row>
    <row r="420" spans="1:8" ht="12.75">
      <c r="A420" s="14"/>
      <c r="B420" s="15"/>
      <c r="H420" s="18"/>
    </row>
    <row r="421" spans="1:11" ht="12.75">
      <c r="A421" s="1" t="s">
        <v>1203</v>
      </c>
      <c r="B421" s="15" t="s">
        <v>638</v>
      </c>
      <c r="C421" s="2">
        <v>7</v>
      </c>
      <c r="E421" s="2">
        <f>58+79+97+106+56+64+45</f>
        <v>505</v>
      </c>
      <c r="G421" s="2">
        <f>1172+1326+1589+1537+931+1149+780</f>
        <v>8484</v>
      </c>
      <c r="H421" s="17">
        <f aca="true" t="shared" si="38" ref="H421:H484">G421/E421</f>
        <v>16.8</v>
      </c>
      <c r="I421" s="2">
        <f>10+6+6+12+5+11+5</f>
        <v>55</v>
      </c>
      <c r="K421" s="18">
        <f aca="true" t="shared" si="39" ref="K421:K484">IF(C421=0,0,G421/C421)</f>
        <v>1212</v>
      </c>
    </row>
    <row r="422" spans="1:11" ht="12.75">
      <c r="A422" s="14" t="s">
        <v>1242</v>
      </c>
      <c r="B422" s="15" t="s">
        <v>1866</v>
      </c>
      <c r="C422" s="2">
        <v>7</v>
      </c>
      <c r="E422" s="2">
        <f>45+57+80+102+72+96+93</f>
        <v>545</v>
      </c>
      <c r="G422" s="2">
        <f>722+719+1092+1347+937+1410+1067</f>
        <v>7294</v>
      </c>
      <c r="H422" s="17">
        <f t="shared" si="38"/>
        <v>13.383486238532111</v>
      </c>
      <c r="I422" s="2">
        <f>3+4+8+6+8+9+7</f>
        <v>45</v>
      </c>
      <c r="K422" s="18">
        <f t="shared" si="39"/>
        <v>1042</v>
      </c>
    </row>
    <row r="423" spans="1:11" ht="12.75">
      <c r="A423" s="14" t="s">
        <v>1212</v>
      </c>
      <c r="B423" s="15" t="s">
        <v>711</v>
      </c>
      <c r="C423" s="2">
        <v>7</v>
      </c>
      <c r="E423" s="2">
        <f>62+99+18+60+47+50+72</f>
        <v>408</v>
      </c>
      <c r="G423" s="2">
        <f>936+1061+589+1437+716+902+1153</f>
        <v>6794</v>
      </c>
      <c r="H423" s="17">
        <f t="shared" si="38"/>
        <v>16.651960784313726</v>
      </c>
      <c r="I423" s="2">
        <f>10+5+5+5+3+5+7</f>
        <v>40</v>
      </c>
      <c r="K423" s="18">
        <f t="shared" si="39"/>
        <v>970.5714285714286</v>
      </c>
    </row>
    <row r="424" spans="1:11" ht="12.75">
      <c r="A424" s="14" t="s">
        <v>1220</v>
      </c>
      <c r="B424" s="15" t="s">
        <v>638</v>
      </c>
      <c r="C424" s="2">
        <v>7</v>
      </c>
      <c r="E424" s="2">
        <f>31+89+76+96+60+54+60</f>
        <v>466</v>
      </c>
      <c r="G424" s="2">
        <f>362+993+1012+1085+881+848+874</f>
        <v>6055</v>
      </c>
      <c r="H424" s="17">
        <f t="shared" si="38"/>
        <v>12.993562231759658</v>
      </c>
      <c r="I424" s="2">
        <f>3+5+12+8+10+4+6</f>
        <v>48</v>
      </c>
      <c r="K424" s="18">
        <f t="shared" si="39"/>
        <v>865</v>
      </c>
    </row>
    <row r="425" spans="1:11" ht="12.75">
      <c r="A425" s="14" t="s">
        <v>927</v>
      </c>
      <c r="B425" s="15" t="s">
        <v>680</v>
      </c>
      <c r="C425" s="2">
        <v>6</v>
      </c>
      <c r="E425" s="2">
        <f>54+84+119+97+28+72</f>
        <v>454</v>
      </c>
      <c r="G425" s="2">
        <f>634+1058+1686+1284+327+905</f>
        <v>5894</v>
      </c>
      <c r="H425" s="17">
        <f t="shared" si="38"/>
        <v>12.982378854625551</v>
      </c>
      <c r="I425" s="2">
        <f>4+6+24+19+2+8</f>
        <v>63</v>
      </c>
      <c r="K425" s="18">
        <f t="shared" si="39"/>
        <v>982.3333333333334</v>
      </c>
    </row>
    <row r="426" spans="1:11" ht="12.75">
      <c r="A426" s="14" t="s">
        <v>1208</v>
      </c>
      <c r="B426" s="15" t="s">
        <v>551</v>
      </c>
      <c r="C426" s="2">
        <v>6</v>
      </c>
      <c r="E426" s="2">
        <f>82+57+74+21+56+75</f>
        <v>365</v>
      </c>
      <c r="G426" s="2">
        <f>1119+1000+1097+207+1284+1176</f>
        <v>5883</v>
      </c>
      <c r="H426" s="17">
        <f t="shared" si="38"/>
        <v>16.117808219178084</v>
      </c>
      <c r="I426" s="2">
        <f>8+9+12+2+15+13</f>
        <v>59</v>
      </c>
      <c r="K426" s="18">
        <f t="shared" si="39"/>
        <v>980.5</v>
      </c>
    </row>
    <row r="427" spans="1:11" ht="12.75">
      <c r="A427" s="14" t="s">
        <v>1230</v>
      </c>
      <c r="B427" s="15" t="s">
        <v>879</v>
      </c>
      <c r="C427" s="2">
        <v>7</v>
      </c>
      <c r="E427" s="2">
        <f>69+71+78+75+39+60+65</f>
        <v>457</v>
      </c>
      <c r="G427" s="2">
        <f>921+815+1034+974+433+787+710</f>
        <v>5674</v>
      </c>
      <c r="H427" s="17">
        <f t="shared" si="38"/>
        <v>12.415754923413568</v>
      </c>
      <c r="I427" s="2">
        <f>3+2+8+7+3+5+7</f>
        <v>35</v>
      </c>
      <c r="K427" s="18">
        <f t="shared" si="39"/>
        <v>810.5714285714286</v>
      </c>
    </row>
    <row r="428" spans="1:11" ht="12.75">
      <c r="A428" s="14" t="s">
        <v>1272</v>
      </c>
      <c r="B428" s="15" t="s">
        <v>72</v>
      </c>
      <c r="C428" s="2">
        <v>6</v>
      </c>
      <c r="E428" s="2">
        <f>48+63+36+102+79+83</f>
        <v>411</v>
      </c>
      <c r="G428" s="2">
        <f>593+1024+476+1013+1152+1206</f>
        <v>5464</v>
      </c>
      <c r="H428" s="17">
        <f t="shared" si="38"/>
        <v>13.29440389294404</v>
      </c>
      <c r="I428" s="2">
        <f>1+4+3+4+6+12</f>
        <v>30</v>
      </c>
      <c r="K428" s="18">
        <f t="shared" si="39"/>
        <v>910.6666666666666</v>
      </c>
    </row>
    <row r="429" spans="1:11" ht="12.75">
      <c r="A429" s="14" t="s">
        <v>1202</v>
      </c>
      <c r="B429" s="15" t="s">
        <v>1538</v>
      </c>
      <c r="C429" s="2">
        <v>6</v>
      </c>
      <c r="E429" s="2">
        <f>87+70+67+68+47+28</f>
        <v>367</v>
      </c>
      <c r="G429" s="2">
        <f>1460+1159+980+1069+480+252</f>
        <v>5400</v>
      </c>
      <c r="H429" s="17">
        <f t="shared" si="38"/>
        <v>14.713896457765667</v>
      </c>
      <c r="I429" s="2">
        <f>9+2+5+7+2+4</f>
        <v>29</v>
      </c>
      <c r="K429" s="18">
        <f t="shared" si="39"/>
        <v>900</v>
      </c>
    </row>
    <row r="430" spans="1:11" ht="12.75">
      <c r="A430" s="14" t="s">
        <v>1215</v>
      </c>
      <c r="B430" s="15" t="s">
        <v>711</v>
      </c>
      <c r="C430" s="2">
        <v>7</v>
      </c>
      <c r="E430" s="2">
        <f>71+124+93+53+62+65+39</f>
        <v>507</v>
      </c>
      <c r="G430" s="2">
        <f>851+1033+1024+735+583+564+430</f>
        <v>5220</v>
      </c>
      <c r="H430" s="17">
        <f t="shared" si="38"/>
        <v>10.29585798816568</v>
      </c>
      <c r="I430" s="2">
        <f>6+5+4+3+2+0+0</f>
        <v>20</v>
      </c>
      <c r="K430" s="18">
        <f t="shared" si="39"/>
        <v>745.7142857142857</v>
      </c>
    </row>
    <row r="431" spans="1:11" ht="12.75">
      <c r="A431" s="14" t="s">
        <v>1228</v>
      </c>
      <c r="B431" s="15" t="s">
        <v>85</v>
      </c>
      <c r="C431" s="2">
        <v>6</v>
      </c>
      <c r="E431" s="2">
        <f>56+57+64+82+104+58</f>
        <v>421</v>
      </c>
      <c r="G431" s="2">
        <f>838+753+940+956+943+618</f>
        <v>5048</v>
      </c>
      <c r="H431" s="17">
        <f t="shared" si="38"/>
        <v>11.990498812351545</v>
      </c>
      <c r="I431" s="2">
        <f>5+11+1+5+4+3</f>
        <v>29</v>
      </c>
      <c r="K431" s="18">
        <f t="shared" si="39"/>
        <v>841.3333333333334</v>
      </c>
    </row>
    <row r="432" spans="1:11" ht="12.75">
      <c r="A432" s="14" t="s">
        <v>1244</v>
      </c>
      <c r="B432" s="15" t="s">
        <v>86</v>
      </c>
      <c r="C432" s="2">
        <v>7</v>
      </c>
      <c r="E432" s="2">
        <f>46+59+68+53+76+57+50</f>
        <v>409</v>
      </c>
      <c r="G432" s="2">
        <f>638+708+810+662+837+612+706</f>
        <v>4973</v>
      </c>
      <c r="H432" s="17">
        <f t="shared" si="38"/>
        <v>12.158924205378973</v>
      </c>
      <c r="I432" s="2">
        <f>3+2+3+4+2+1+4</f>
        <v>19</v>
      </c>
      <c r="K432" s="18">
        <f t="shared" si="39"/>
        <v>710.4285714285714</v>
      </c>
    </row>
    <row r="433" spans="1:11" ht="12.75">
      <c r="A433" s="14" t="s">
        <v>1116</v>
      </c>
      <c r="B433" s="15" t="s">
        <v>314</v>
      </c>
      <c r="C433" s="2">
        <v>6</v>
      </c>
      <c r="E433" s="2">
        <f>37+137+94+62+86+57</f>
        <v>473</v>
      </c>
      <c r="G433" s="2">
        <f>357+1408+1022+847+879+439</f>
        <v>4952</v>
      </c>
      <c r="H433" s="17">
        <f t="shared" si="38"/>
        <v>10.469344608879492</v>
      </c>
      <c r="I433" s="2">
        <f>1+11+7+5+4+4</f>
        <v>32</v>
      </c>
      <c r="K433" s="18">
        <f t="shared" si="39"/>
        <v>825.3333333333334</v>
      </c>
    </row>
    <row r="434" spans="1:11" ht="12.75">
      <c r="A434" s="14" t="s">
        <v>1210</v>
      </c>
      <c r="B434" s="15" t="s">
        <v>1538</v>
      </c>
      <c r="C434" s="2">
        <v>6</v>
      </c>
      <c r="E434" s="2">
        <f>79+61+73+46+58+42</f>
        <v>359</v>
      </c>
      <c r="G434" s="2">
        <f>1085+858+1036+686+703+526</f>
        <v>4894</v>
      </c>
      <c r="H434" s="17">
        <f t="shared" si="38"/>
        <v>13.632311977715878</v>
      </c>
      <c r="I434" s="2">
        <f>12+6+7+0+6+6</f>
        <v>37</v>
      </c>
      <c r="K434" s="18">
        <f t="shared" si="39"/>
        <v>815.6666666666666</v>
      </c>
    </row>
    <row r="435" spans="1:11" ht="12.75">
      <c r="A435" s="14" t="s">
        <v>1239</v>
      </c>
      <c r="B435" s="15" t="s">
        <v>293</v>
      </c>
      <c r="C435" s="2">
        <v>6</v>
      </c>
      <c r="E435" s="2">
        <f>77+101+84+67+64+70</f>
        <v>463</v>
      </c>
      <c r="G435" s="2">
        <f>755+923+978+810+676+682</f>
        <v>4824</v>
      </c>
      <c r="H435" s="17">
        <f t="shared" si="38"/>
        <v>10.419006479481641</v>
      </c>
      <c r="I435" s="2">
        <f>7+11+6+6+7+7</f>
        <v>44</v>
      </c>
      <c r="K435" s="18">
        <f t="shared" si="39"/>
        <v>804</v>
      </c>
    </row>
    <row r="436" spans="1:11" ht="12.75">
      <c r="A436" s="14" t="s">
        <v>1213</v>
      </c>
      <c r="B436" s="15" t="s">
        <v>947</v>
      </c>
      <c r="C436" s="2">
        <v>5</v>
      </c>
      <c r="E436" s="2">
        <f>67+68+68+78+52</f>
        <v>333</v>
      </c>
      <c r="G436" s="2">
        <f>1056+805+878+1300+748</f>
        <v>4787</v>
      </c>
      <c r="H436" s="17">
        <f t="shared" si="38"/>
        <v>14.375375375375375</v>
      </c>
      <c r="I436" s="2">
        <f>7+7+6+13+4</f>
        <v>37</v>
      </c>
      <c r="K436" s="18">
        <f t="shared" si="39"/>
        <v>957.4</v>
      </c>
    </row>
    <row r="437" spans="1:11" ht="12.75">
      <c r="A437" s="14" t="s">
        <v>1271</v>
      </c>
      <c r="B437" s="15" t="s">
        <v>314</v>
      </c>
      <c r="C437" s="2">
        <v>6</v>
      </c>
      <c r="E437" s="2">
        <f>45+82+82+63+65+74</f>
        <v>411</v>
      </c>
      <c r="G437" s="2">
        <f>599+834+839+891+810+762</f>
        <v>4735</v>
      </c>
      <c r="H437" s="17">
        <f t="shared" si="38"/>
        <v>11.520681265206813</v>
      </c>
      <c r="I437" s="2">
        <f>3+4+7+9+9+5</f>
        <v>37</v>
      </c>
      <c r="K437" s="18">
        <f t="shared" si="39"/>
        <v>789.1666666666666</v>
      </c>
    </row>
    <row r="438" spans="1:11" ht="12.75">
      <c r="A438" s="14" t="s">
        <v>1227</v>
      </c>
      <c r="B438" s="15" t="s">
        <v>446</v>
      </c>
      <c r="C438" s="2">
        <v>7</v>
      </c>
      <c r="E438" s="2">
        <f>91+90+63+56+50+63+45</f>
        <v>458</v>
      </c>
      <c r="G438" s="2">
        <f>1023+863+586+693+498+653+411</f>
        <v>4727</v>
      </c>
      <c r="H438" s="17">
        <f t="shared" si="38"/>
        <v>10.320960698689957</v>
      </c>
      <c r="I438" s="2">
        <f>10+2+3+6+3+2+2</f>
        <v>28</v>
      </c>
      <c r="K438" s="18">
        <f t="shared" si="39"/>
        <v>675.2857142857143</v>
      </c>
    </row>
    <row r="439" spans="1:11" ht="12.75">
      <c r="A439" s="14" t="s">
        <v>1283</v>
      </c>
      <c r="B439" s="15" t="s">
        <v>57</v>
      </c>
      <c r="C439" s="2">
        <v>6</v>
      </c>
      <c r="E439" s="2">
        <f>47+62+59+63+57+62</f>
        <v>350</v>
      </c>
      <c r="G439" s="2">
        <f>480+800+810+762+786+1045</f>
        <v>4683</v>
      </c>
      <c r="H439" s="17">
        <f t="shared" si="38"/>
        <v>13.38</v>
      </c>
      <c r="I439" s="2">
        <f>1+3+2+5+2+7</f>
        <v>20</v>
      </c>
      <c r="K439" s="18">
        <f t="shared" si="39"/>
        <v>780.5</v>
      </c>
    </row>
    <row r="440" spans="1:11" ht="12.75">
      <c r="A440" s="14" t="s">
        <v>1225</v>
      </c>
      <c r="B440" s="15" t="s">
        <v>699</v>
      </c>
      <c r="C440" s="2">
        <v>7</v>
      </c>
      <c r="E440" s="2">
        <f>69+96+50+52+68+72+61</f>
        <v>468</v>
      </c>
      <c r="G440" s="2">
        <f>663+903+464+617+701+705+618</f>
        <v>4671</v>
      </c>
      <c r="H440" s="17">
        <f t="shared" si="38"/>
        <v>9.98076923076923</v>
      </c>
      <c r="I440" s="2">
        <f>6+4+1+2+1+9+5</f>
        <v>28</v>
      </c>
      <c r="K440" s="18">
        <f t="shared" si="39"/>
        <v>667.2857142857143</v>
      </c>
    </row>
    <row r="441" spans="1:11" ht="12.75">
      <c r="A441" s="14" t="s">
        <v>1216</v>
      </c>
      <c r="B441" s="15" t="s">
        <v>283</v>
      </c>
      <c r="C441" s="2">
        <v>6</v>
      </c>
      <c r="E441" s="2">
        <f>65+52+71+75+82+63</f>
        <v>408</v>
      </c>
      <c r="G441" s="2">
        <f>1026+717+715+802+799+509</f>
        <v>4568</v>
      </c>
      <c r="H441" s="17">
        <f t="shared" si="38"/>
        <v>11.196078431372548</v>
      </c>
      <c r="I441" s="2">
        <f>8+4+3+3+8+5</f>
        <v>31</v>
      </c>
      <c r="K441" s="18">
        <f t="shared" si="39"/>
        <v>761.3333333333334</v>
      </c>
    </row>
    <row r="442" spans="1:11" ht="12.75">
      <c r="A442" s="14" t="s">
        <v>1246</v>
      </c>
      <c r="B442" s="15" t="s">
        <v>697</v>
      </c>
      <c r="C442" s="2">
        <v>6</v>
      </c>
      <c r="E442" s="2">
        <f>63+59+54+46+61+69</f>
        <v>352</v>
      </c>
      <c r="G442" s="2">
        <f>694+997+718+706+648+752</f>
        <v>4515</v>
      </c>
      <c r="H442" s="17">
        <f t="shared" si="38"/>
        <v>12.826704545454545</v>
      </c>
      <c r="I442" s="2">
        <f>3+3+8+4+4+2</f>
        <v>24</v>
      </c>
      <c r="K442" s="18">
        <f t="shared" si="39"/>
        <v>752.5</v>
      </c>
    </row>
    <row r="443" spans="1:11" ht="12.75">
      <c r="A443" s="14" t="s">
        <v>1275</v>
      </c>
      <c r="B443" s="15" t="s">
        <v>898</v>
      </c>
      <c r="C443" s="2">
        <v>7</v>
      </c>
      <c r="E443" s="2">
        <f>84+63+32+45+1+53+34</f>
        <v>312</v>
      </c>
      <c r="G443" s="2">
        <f>1094+574+574+765+13+914+541</f>
        <v>4475</v>
      </c>
      <c r="H443" s="17">
        <f t="shared" si="38"/>
        <v>14.342948717948717</v>
      </c>
      <c r="I443" s="2">
        <f>9+4+3+4+0+6+5</f>
        <v>31</v>
      </c>
      <c r="K443" s="18">
        <f t="shared" si="39"/>
        <v>639.2857142857143</v>
      </c>
    </row>
    <row r="444" spans="1:11" ht="12.75">
      <c r="A444" s="14" t="s">
        <v>1218</v>
      </c>
      <c r="B444" s="15" t="s">
        <v>268</v>
      </c>
      <c r="C444" s="2">
        <v>6</v>
      </c>
      <c r="E444" s="2">
        <f>75+86+50+54+7+26</f>
        <v>298</v>
      </c>
      <c r="G444" s="2">
        <f>1018+1498+728+558+73+498</f>
        <v>4373</v>
      </c>
      <c r="H444" s="17">
        <f t="shared" si="38"/>
        <v>14.674496644295303</v>
      </c>
      <c r="I444" s="2">
        <f>2+11+6+5+1+5</f>
        <v>30</v>
      </c>
      <c r="K444" s="18">
        <f t="shared" si="39"/>
        <v>728.8333333333334</v>
      </c>
    </row>
    <row r="445" spans="1:11" ht="12.75">
      <c r="A445" s="14" t="s">
        <v>1222</v>
      </c>
      <c r="B445" s="15" t="s">
        <v>481</v>
      </c>
      <c r="C445" s="2">
        <v>5</v>
      </c>
      <c r="E445" s="2">
        <f>95+94+102+58+58</f>
        <v>407</v>
      </c>
      <c r="G445" s="2">
        <f>1205+962+962+577+664</f>
        <v>4370</v>
      </c>
      <c r="H445" s="17">
        <f t="shared" si="38"/>
        <v>10.737100737100738</v>
      </c>
      <c r="I445" s="2">
        <f>11+12+8+2+2</f>
        <v>35</v>
      </c>
      <c r="K445" s="18">
        <f t="shared" si="39"/>
        <v>874</v>
      </c>
    </row>
    <row r="446" spans="1:11" ht="12.75">
      <c r="A446" s="14" t="s">
        <v>1245</v>
      </c>
      <c r="B446" s="15" t="s">
        <v>760</v>
      </c>
      <c r="C446" s="2">
        <v>6</v>
      </c>
      <c r="E446" s="2">
        <f>46+49+38+41+54+49</f>
        <v>277</v>
      </c>
      <c r="G446" s="2">
        <f>703+614+498+1035+762+655</f>
        <v>4267</v>
      </c>
      <c r="H446" s="17">
        <f t="shared" si="38"/>
        <v>15.4043321299639</v>
      </c>
      <c r="I446" s="2">
        <f>2+3+4+8+5+4</f>
        <v>26</v>
      </c>
      <c r="K446" s="18">
        <f t="shared" si="39"/>
        <v>711.1666666666666</v>
      </c>
    </row>
    <row r="447" spans="1:11" ht="12.75">
      <c r="A447" s="14" t="s">
        <v>1205</v>
      </c>
      <c r="B447" s="15" t="s">
        <v>403</v>
      </c>
      <c r="C447" s="2">
        <v>4</v>
      </c>
      <c r="E447" s="2">
        <f>56+35+77+61</f>
        <v>229</v>
      </c>
      <c r="G447" s="2">
        <f>1268+705+1422+812</f>
        <v>4207</v>
      </c>
      <c r="H447" s="17">
        <f t="shared" si="38"/>
        <v>18.37117903930131</v>
      </c>
      <c r="I447" s="2">
        <f>9+5+11+6</f>
        <v>31</v>
      </c>
      <c r="K447" s="18">
        <f t="shared" si="39"/>
        <v>1051.75</v>
      </c>
    </row>
    <row r="448" spans="1:11" ht="12.75">
      <c r="A448" s="14" t="s">
        <v>1884</v>
      </c>
      <c r="B448" s="15" t="s">
        <v>107</v>
      </c>
      <c r="C448" s="2">
        <v>5</v>
      </c>
      <c r="E448" s="2">
        <f>81+108+61+79+8</f>
        <v>337</v>
      </c>
      <c r="G448" s="2">
        <f>839+1272+856+1081+111</f>
        <v>4159</v>
      </c>
      <c r="H448" s="17">
        <f t="shared" si="38"/>
        <v>12.341246290801188</v>
      </c>
      <c r="I448" s="2">
        <f>4+8+3+7+0</f>
        <v>22</v>
      </c>
      <c r="K448" s="18">
        <f t="shared" si="39"/>
        <v>831.8</v>
      </c>
    </row>
    <row r="449" spans="1:11" ht="12.75">
      <c r="A449" s="14" t="s">
        <v>1291</v>
      </c>
      <c r="B449" s="15" t="s">
        <v>614</v>
      </c>
      <c r="C449" s="2">
        <v>6</v>
      </c>
      <c r="E449" s="2">
        <f>59+20+46+55+30+33</f>
        <v>243</v>
      </c>
      <c r="G449" s="2">
        <f>955+352+703+888+508+615</f>
        <v>4021</v>
      </c>
      <c r="H449" s="17">
        <f t="shared" si="38"/>
        <v>16.54732510288066</v>
      </c>
      <c r="I449" s="2">
        <f>3+4+7+5+5+4</f>
        <v>28</v>
      </c>
      <c r="K449" s="18">
        <f t="shared" si="39"/>
        <v>670.1666666666666</v>
      </c>
    </row>
    <row r="450" spans="1:11" ht="12.75">
      <c r="A450" s="14" t="s">
        <v>1237</v>
      </c>
      <c r="B450" s="15" t="s">
        <v>382</v>
      </c>
      <c r="C450" s="2">
        <v>4</v>
      </c>
      <c r="E450" s="2">
        <f>69+111+74+42</f>
        <v>296</v>
      </c>
      <c r="G450" s="2">
        <f>762+1455+1090+596</f>
        <v>3903</v>
      </c>
      <c r="H450" s="17">
        <f t="shared" si="38"/>
        <v>13.18581081081081</v>
      </c>
      <c r="I450" s="2">
        <f>6+12+10+0</f>
        <v>28</v>
      </c>
      <c r="K450" s="18">
        <f t="shared" si="39"/>
        <v>975.75</v>
      </c>
    </row>
    <row r="451" spans="1:11" ht="12.75">
      <c r="A451" s="14" t="s">
        <v>1209</v>
      </c>
      <c r="B451" s="15" t="s">
        <v>446</v>
      </c>
      <c r="C451" s="2">
        <v>7</v>
      </c>
      <c r="E451" s="2">
        <f>43+57+47+41+2+13+6</f>
        <v>209</v>
      </c>
      <c r="G451" s="2">
        <f>680+1109+823+826+57+196+209</f>
        <v>3900</v>
      </c>
      <c r="H451" s="17">
        <f t="shared" si="38"/>
        <v>18.660287081339714</v>
      </c>
      <c r="I451" s="2">
        <f>6+12+11+6+1+0+0</f>
        <v>36</v>
      </c>
      <c r="K451" s="18">
        <f t="shared" si="39"/>
        <v>557.1428571428571</v>
      </c>
    </row>
    <row r="452" spans="1:11" ht="12.75">
      <c r="A452" s="14" t="s">
        <v>1277</v>
      </c>
      <c r="B452" s="15" t="s">
        <v>562</v>
      </c>
      <c r="C452" s="2">
        <v>7</v>
      </c>
      <c r="E452" s="2">
        <f>4+48+49+47+41+46+57</f>
        <v>292</v>
      </c>
      <c r="G452" s="2">
        <f>43+558+505+632+664+690+747</f>
        <v>3839</v>
      </c>
      <c r="H452" s="17">
        <f t="shared" si="38"/>
        <v>13.147260273972602</v>
      </c>
      <c r="I452" s="2">
        <f>0+2+4+5+3+9+4</f>
        <v>27</v>
      </c>
      <c r="K452" s="18">
        <f t="shared" si="39"/>
        <v>548.4285714285714</v>
      </c>
    </row>
    <row r="453" spans="1:11" ht="12.75">
      <c r="A453" s="14" t="s">
        <v>464</v>
      </c>
      <c r="B453" s="15" t="s">
        <v>876</v>
      </c>
      <c r="C453" s="2">
        <v>3</v>
      </c>
      <c r="E453" s="2">
        <f>111+115+56</f>
        <v>282</v>
      </c>
      <c r="G453" s="2">
        <f>1474+1508+850</f>
        <v>3832</v>
      </c>
      <c r="H453" s="17">
        <f t="shared" si="38"/>
        <v>13.588652482269504</v>
      </c>
      <c r="I453" s="2">
        <f>3+8+0</f>
        <v>11</v>
      </c>
      <c r="K453" s="18">
        <f t="shared" si="39"/>
        <v>1277.3333333333333</v>
      </c>
    </row>
    <row r="454" spans="1:11" ht="12.75">
      <c r="A454" s="14" t="s">
        <v>1313</v>
      </c>
      <c r="B454" s="15" t="s">
        <v>101</v>
      </c>
      <c r="C454" s="2">
        <v>7</v>
      </c>
      <c r="E454" s="2">
        <f>67+11+70+5+16+53+51</f>
        <v>273</v>
      </c>
      <c r="G454" s="2">
        <f>1080+145+842+70+192+851+638</f>
        <v>3818</v>
      </c>
      <c r="H454" s="17">
        <f t="shared" si="38"/>
        <v>13.985347985347985</v>
      </c>
      <c r="I454" s="2">
        <f>6+0+6+0+0+5+2</f>
        <v>19</v>
      </c>
      <c r="K454" s="18">
        <f t="shared" si="39"/>
        <v>545.4285714285714</v>
      </c>
    </row>
    <row r="455" spans="1:11" ht="12.75">
      <c r="A455" s="14" t="s">
        <v>1268</v>
      </c>
      <c r="B455" s="15" t="s">
        <v>382</v>
      </c>
      <c r="C455" s="2">
        <v>4</v>
      </c>
      <c r="E455" s="2">
        <f>43+80+67+45</f>
        <v>235</v>
      </c>
      <c r="G455" s="2">
        <f>609+1308+1102+788</f>
        <v>3807</v>
      </c>
      <c r="H455" s="17">
        <f t="shared" si="38"/>
        <v>16.2</v>
      </c>
      <c r="I455" s="2">
        <f>1+10+6+1</f>
        <v>18</v>
      </c>
      <c r="K455" s="18">
        <f t="shared" si="39"/>
        <v>951.75</v>
      </c>
    </row>
    <row r="456" spans="1:11" ht="12.75">
      <c r="A456" s="14" t="s">
        <v>1486</v>
      </c>
      <c r="B456" s="15" t="s">
        <v>1577</v>
      </c>
      <c r="C456" s="2">
        <v>5</v>
      </c>
      <c r="E456" s="2">
        <f>69+36+80+54+21</f>
        <v>260</v>
      </c>
      <c r="G456" s="2">
        <f>1090+503+1138+829+245</f>
        <v>3805</v>
      </c>
      <c r="H456" s="17">
        <f t="shared" si="38"/>
        <v>14.634615384615385</v>
      </c>
      <c r="I456" s="2">
        <f>4+5+4+6+2</f>
        <v>21</v>
      </c>
      <c r="K456" s="18">
        <f t="shared" si="39"/>
        <v>761</v>
      </c>
    </row>
    <row r="457" spans="1:11" ht="12.75">
      <c r="A457" s="14" t="s">
        <v>1290</v>
      </c>
      <c r="B457" s="15" t="s">
        <v>673</v>
      </c>
      <c r="C457" s="2">
        <v>6</v>
      </c>
      <c r="E457" s="2">
        <f>36+57+70+47+69+79</f>
        <v>358</v>
      </c>
      <c r="G457" s="2">
        <f>374+620+726+539+600+864</f>
        <v>3723</v>
      </c>
      <c r="H457" s="17">
        <f t="shared" si="38"/>
        <v>10.399441340782124</v>
      </c>
      <c r="I457" s="2">
        <f>4+2+7+1+4+9</f>
        <v>27</v>
      </c>
      <c r="K457" s="18">
        <f t="shared" si="39"/>
        <v>620.5</v>
      </c>
    </row>
    <row r="458" spans="1:11" ht="12.75">
      <c r="A458" s="14" t="s">
        <v>1238</v>
      </c>
      <c r="B458" s="15" t="s">
        <v>419</v>
      </c>
      <c r="C458" s="2">
        <v>5</v>
      </c>
      <c r="E458" s="2">
        <f>99+62+6+51+59</f>
        <v>277</v>
      </c>
      <c r="G458" s="2">
        <f>1008+758+121+901+833</f>
        <v>3621</v>
      </c>
      <c r="H458" s="17">
        <f t="shared" si="38"/>
        <v>13.072202166064981</v>
      </c>
      <c r="I458" s="2">
        <f>6+7+0+4+1</f>
        <v>18</v>
      </c>
      <c r="K458" s="18">
        <f t="shared" si="39"/>
        <v>724.2</v>
      </c>
    </row>
    <row r="459" spans="1:11" ht="12.75">
      <c r="A459" s="14" t="s">
        <v>1217</v>
      </c>
      <c r="B459" s="15" t="s">
        <v>492</v>
      </c>
      <c r="C459" s="2">
        <v>5</v>
      </c>
      <c r="E459" s="2">
        <f>90+67+13+71+67</f>
        <v>308</v>
      </c>
      <c r="G459" s="2">
        <f>960+1021+293+567+693</f>
        <v>3534</v>
      </c>
      <c r="H459" s="17">
        <f t="shared" si="38"/>
        <v>11.474025974025974</v>
      </c>
      <c r="I459" s="2">
        <f>4+10+0+3+2</f>
        <v>19</v>
      </c>
      <c r="K459" s="18">
        <f t="shared" si="39"/>
        <v>706.8</v>
      </c>
    </row>
    <row r="460" spans="1:11" ht="12.75">
      <c r="A460" s="14" t="s">
        <v>1834</v>
      </c>
      <c r="B460" s="15" t="s">
        <v>1555</v>
      </c>
      <c r="C460" s="2">
        <v>5</v>
      </c>
      <c r="E460" s="2">
        <f>51+71+61+72+61</f>
        <v>316</v>
      </c>
      <c r="G460" s="2">
        <f>561+822+642+712+726</f>
        <v>3463</v>
      </c>
      <c r="H460" s="17">
        <f t="shared" si="38"/>
        <v>10.958860759493671</v>
      </c>
      <c r="I460" s="2">
        <f>3+3+6+6+7</f>
        <v>25</v>
      </c>
      <c r="K460" s="18">
        <f t="shared" si="39"/>
        <v>692.6</v>
      </c>
    </row>
    <row r="461" spans="1:11" ht="12.75">
      <c r="A461" s="14" t="s">
        <v>1223</v>
      </c>
      <c r="B461" s="15" t="s">
        <v>937</v>
      </c>
      <c r="C461" s="2">
        <v>4</v>
      </c>
      <c r="E461" s="2">
        <f>68+79+67+1</f>
        <v>215</v>
      </c>
      <c r="G461" s="2">
        <f>956+1283+1202+8</f>
        <v>3449</v>
      </c>
      <c r="H461" s="17">
        <f t="shared" si="38"/>
        <v>16.04186046511628</v>
      </c>
      <c r="I461" s="2">
        <f>5+12+9+0</f>
        <v>26</v>
      </c>
      <c r="K461" s="18">
        <f t="shared" si="39"/>
        <v>862.25</v>
      </c>
    </row>
    <row r="462" spans="1:11" ht="12.75">
      <c r="A462" s="14" t="s">
        <v>1845</v>
      </c>
      <c r="B462" s="15" t="s">
        <v>912</v>
      </c>
      <c r="C462" s="2">
        <v>5</v>
      </c>
      <c r="E462" s="2">
        <f>53+74+64+80+44</f>
        <v>315</v>
      </c>
      <c r="G462" s="2">
        <f>624+797+708+781+519</f>
        <v>3429</v>
      </c>
      <c r="H462" s="17">
        <f t="shared" si="38"/>
        <v>10.885714285714286</v>
      </c>
      <c r="I462" s="2">
        <f>16+21+7+7+0</f>
        <v>51</v>
      </c>
      <c r="K462" s="18">
        <f t="shared" si="39"/>
        <v>685.8</v>
      </c>
    </row>
    <row r="463" spans="1:11" ht="12.75">
      <c r="A463" s="14" t="s">
        <v>1296</v>
      </c>
      <c r="B463" s="15" t="s">
        <v>444</v>
      </c>
      <c r="C463" s="2">
        <v>6</v>
      </c>
      <c r="E463" s="2">
        <f>15+14+30+49+42+67</f>
        <v>217</v>
      </c>
      <c r="G463" s="2">
        <f>247+316+475+685+708+983</f>
        <v>3414</v>
      </c>
      <c r="H463" s="17">
        <f t="shared" si="38"/>
        <v>15.732718894009217</v>
      </c>
      <c r="I463" s="2">
        <f>1+3+2+4+2+15</f>
        <v>27</v>
      </c>
      <c r="K463" s="18">
        <f t="shared" si="39"/>
        <v>569</v>
      </c>
    </row>
    <row r="464" spans="1:11" ht="12.75">
      <c r="A464" s="14" t="s">
        <v>1206</v>
      </c>
      <c r="B464" s="15" t="s">
        <v>633</v>
      </c>
      <c r="C464" s="2">
        <v>6</v>
      </c>
      <c r="E464" s="2">
        <f>17+70+49+65+24+32</f>
        <v>257</v>
      </c>
      <c r="G464" s="2">
        <f>159+1139+563+810+244+374</f>
        <v>3289</v>
      </c>
      <c r="H464" s="17">
        <f t="shared" si="38"/>
        <v>12.797665369649806</v>
      </c>
      <c r="I464" s="2">
        <f>0+7+1+5+2+2</f>
        <v>17</v>
      </c>
      <c r="K464" s="18">
        <f t="shared" si="39"/>
        <v>548.1666666666666</v>
      </c>
    </row>
    <row r="465" spans="1:11" ht="12.75">
      <c r="A465" s="14" t="s">
        <v>1916</v>
      </c>
      <c r="B465" s="15" t="s">
        <v>759</v>
      </c>
      <c r="C465" s="2">
        <v>5</v>
      </c>
      <c r="E465" s="2">
        <f>5+62+27+59+60</f>
        <v>213</v>
      </c>
      <c r="G465" s="2">
        <f>65+1047+290+908+925</f>
        <v>3235</v>
      </c>
      <c r="H465" s="17">
        <f t="shared" si="38"/>
        <v>15.187793427230046</v>
      </c>
      <c r="I465" s="2">
        <f>2+4+2+6+5</f>
        <v>19</v>
      </c>
      <c r="K465" s="18">
        <f t="shared" si="39"/>
        <v>647</v>
      </c>
    </row>
    <row r="466" spans="1:11" ht="12.75">
      <c r="A466" s="14" t="s">
        <v>1856</v>
      </c>
      <c r="B466" s="15" t="s">
        <v>879</v>
      </c>
      <c r="C466" s="2">
        <v>7</v>
      </c>
      <c r="E466" s="2">
        <f>3+15+91+117+10+3+5</f>
        <v>244</v>
      </c>
      <c r="G466" s="2">
        <f>27+136+1234+1344+138+78+39</f>
        <v>2996</v>
      </c>
      <c r="H466" s="17">
        <f t="shared" si="38"/>
        <v>12.278688524590164</v>
      </c>
      <c r="I466" s="2">
        <f>0+4+3+2+0+1</f>
        <v>10</v>
      </c>
      <c r="K466" s="18">
        <f t="shared" si="39"/>
        <v>428</v>
      </c>
    </row>
    <row r="467" spans="1:11" ht="12.75">
      <c r="A467" s="14" t="s">
        <v>1911</v>
      </c>
      <c r="B467" s="15" t="s">
        <v>52</v>
      </c>
      <c r="C467" s="2">
        <v>5</v>
      </c>
      <c r="E467" s="2">
        <f>79+58+78+43+69</f>
        <v>327</v>
      </c>
      <c r="G467" s="2">
        <f>748+569+638+367+642</f>
        <v>2964</v>
      </c>
      <c r="H467" s="17">
        <f t="shared" si="38"/>
        <v>9.064220183486238</v>
      </c>
      <c r="I467" s="2">
        <f>2+0+4+1+2</f>
        <v>9</v>
      </c>
      <c r="K467" s="18">
        <f t="shared" si="39"/>
        <v>592.8</v>
      </c>
    </row>
    <row r="468" spans="1:11" ht="12.75">
      <c r="A468" s="14" t="s">
        <v>1103</v>
      </c>
      <c r="B468" s="15" t="s">
        <v>1984</v>
      </c>
      <c r="C468" s="2">
        <v>4</v>
      </c>
      <c r="E468" s="2">
        <f>86+111+76+37</f>
        <v>310</v>
      </c>
      <c r="G468" s="2">
        <f>731+1186+639+345</f>
        <v>2901</v>
      </c>
      <c r="H468" s="17">
        <f t="shared" si="38"/>
        <v>9.358064516129032</v>
      </c>
      <c r="I468" s="2">
        <f>2+3+2+2</f>
        <v>9</v>
      </c>
      <c r="K468" s="18">
        <f t="shared" si="39"/>
        <v>725.25</v>
      </c>
    </row>
    <row r="469" spans="1:11" ht="12.75">
      <c r="A469" s="14" t="s">
        <v>1226</v>
      </c>
      <c r="B469" s="15" t="s">
        <v>8</v>
      </c>
      <c r="C469" s="2">
        <v>4</v>
      </c>
      <c r="E469" s="2">
        <f>103+74+25+9</f>
        <v>211</v>
      </c>
      <c r="G469" s="2">
        <f>1473+868+364+171</f>
        <v>2876</v>
      </c>
      <c r="H469" s="17">
        <f t="shared" si="38"/>
        <v>13.630331753554502</v>
      </c>
      <c r="I469" s="2">
        <f>10+5+2+1</f>
        <v>18</v>
      </c>
      <c r="K469" s="18">
        <f t="shared" si="39"/>
        <v>719</v>
      </c>
    </row>
    <row r="470" spans="1:11" ht="12.75">
      <c r="A470" s="14" t="s">
        <v>1241</v>
      </c>
      <c r="B470" s="15" t="s">
        <v>881</v>
      </c>
      <c r="C470" s="2">
        <v>6</v>
      </c>
      <c r="E470" s="2">
        <f>45+40+43+49+41+28</f>
        <v>246</v>
      </c>
      <c r="G470" s="2">
        <f>722+449+462+457+478+282</f>
        <v>2850</v>
      </c>
      <c r="H470" s="17">
        <f t="shared" si="38"/>
        <v>11.585365853658537</v>
      </c>
      <c r="I470" s="2">
        <f>10+5+3+2+2+4</f>
        <v>26</v>
      </c>
      <c r="K470" s="18">
        <f t="shared" si="39"/>
        <v>475</v>
      </c>
    </row>
    <row r="471" spans="1:11" ht="12.75">
      <c r="A471" s="14" t="s">
        <v>1263</v>
      </c>
      <c r="B471" s="15" t="s">
        <v>915</v>
      </c>
      <c r="C471" s="2">
        <v>6</v>
      </c>
      <c r="E471" s="2">
        <f>56+21+79+10+32+30</f>
        <v>228</v>
      </c>
      <c r="G471" s="2">
        <f>666+292+975+121+407+380</f>
        <v>2841</v>
      </c>
      <c r="H471" s="17">
        <f t="shared" si="38"/>
        <v>12.460526315789474</v>
      </c>
      <c r="I471" s="2">
        <f>3+2+7+1+3+5</f>
        <v>21</v>
      </c>
      <c r="K471" s="18">
        <f t="shared" si="39"/>
        <v>473.5</v>
      </c>
    </row>
    <row r="472" spans="1:11" ht="12.75">
      <c r="A472" s="14" t="s">
        <v>1266</v>
      </c>
      <c r="B472" s="15" t="s">
        <v>852</v>
      </c>
      <c r="C472" s="2">
        <v>5</v>
      </c>
      <c r="E472" s="2">
        <f>17+50+64+49+19</f>
        <v>199</v>
      </c>
      <c r="G472" s="2">
        <f>236+626+934+769+266</f>
        <v>2831</v>
      </c>
      <c r="H472" s="17">
        <f t="shared" si="38"/>
        <v>14.226130653266331</v>
      </c>
      <c r="I472" s="2">
        <f>0+4+3+7+0</f>
        <v>14</v>
      </c>
      <c r="K472" s="18">
        <f t="shared" si="39"/>
        <v>566.2</v>
      </c>
    </row>
    <row r="473" spans="1:11" ht="12.75">
      <c r="A473" s="14" t="s">
        <v>1281</v>
      </c>
      <c r="B473" s="15" t="s">
        <v>527</v>
      </c>
      <c r="C473" s="2">
        <v>6</v>
      </c>
      <c r="E473" s="2">
        <f>70+58+39+39+56+46</f>
        <v>308</v>
      </c>
      <c r="G473" s="2">
        <f>565+489+384+441+549+387</f>
        <v>2815</v>
      </c>
      <c r="H473" s="17">
        <f t="shared" si="38"/>
        <v>9.13961038961039</v>
      </c>
      <c r="I473" s="2">
        <f>8+9+7+3+3+3</f>
        <v>33</v>
      </c>
      <c r="K473" s="18">
        <f t="shared" si="39"/>
        <v>469.1666666666667</v>
      </c>
    </row>
    <row r="474" spans="1:11" ht="12.75">
      <c r="A474" s="14" t="s">
        <v>1900</v>
      </c>
      <c r="B474" s="15" t="s">
        <v>438</v>
      </c>
      <c r="C474" s="2">
        <v>5</v>
      </c>
      <c r="E474" s="2">
        <f>7+17+14+52+27</f>
        <v>117</v>
      </c>
      <c r="G474" s="2">
        <f>126+480+354+1111+620</f>
        <v>2691</v>
      </c>
      <c r="H474" s="17">
        <f t="shared" si="38"/>
        <v>23</v>
      </c>
      <c r="I474" s="2">
        <f>0+5+3+13+4</f>
        <v>25</v>
      </c>
      <c r="K474" s="18">
        <f t="shared" si="39"/>
        <v>538.2</v>
      </c>
    </row>
    <row r="475" spans="1:11" ht="12.75">
      <c r="A475" s="14" t="s">
        <v>1278</v>
      </c>
      <c r="B475" s="15" t="s">
        <v>510</v>
      </c>
      <c r="C475" s="2">
        <v>4</v>
      </c>
      <c r="E475" s="2">
        <f>59+98+1+42</f>
        <v>200</v>
      </c>
      <c r="G475" s="2">
        <f>551+1223+13+855</f>
        <v>2642</v>
      </c>
      <c r="H475" s="17">
        <f t="shared" si="38"/>
        <v>13.21</v>
      </c>
      <c r="I475" s="2">
        <f>2+9+0+4</f>
        <v>15</v>
      </c>
      <c r="K475" s="18">
        <f t="shared" si="39"/>
        <v>660.5</v>
      </c>
    </row>
    <row r="476" spans="1:11" ht="12.75">
      <c r="A476" s="14" t="s">
        <v>138</v>
      </c>
      <c r="B476" s="15" t="s">
        <v>313</v>
      </c>
      <c r="C476" s="2">
        <v>4</v>
      </c>
      <c r="E476" s="2">
        <f>2+35+78+75</f>
        <v>190</v>
      </c>
      <c r="G476" s="2">
        <f>19+909+808+849</f>
        <v>2585</v>
      </c>
      <c r="H476" s="17">
        <f t="shared" si="38"/>
        <v>13.605263157894736</v>
      </c>
      <c r="I476" s="2">
        <f>0+4+3+2</f>
        <v>9</v>
      </c>
      <c r="K476" s="18">
        <f t="shared" si="39"/>
        <v>646.25</v>
      </c>
    </row>
    <row r="477" spans="1:11" ht="12.75">
      <c r="A477" s="14" t="s">
        <v>132</v>
      </c>
      <c r="B477" s="15" t="s">
        <v>836</v>
      </c>
      <c r="C477" s="2">
        <v>3</v>
      </c>
      <c r="E477" s="2">
        <f>32+69+88</f>
        <v>189</v>
      </c>
      <c r="G477" s="2">
        <f>416+1119+1032</f>
        <v>2567</v>
      </c>
      <c r="H477" s="17">
        <f t="shared" si="38"/>
        <v>13.582010582010582</v>
      </c>
      <c r="I477" s="2">
        <f>2+3+8</f>
        <v>13</v>
      </c>
      <c r="K477" s="18">
        <f t="shared" si="39"/>
        <v>855.6666666666666</v>
      </c>
    </row>
    <row r="478" spans="1:11" ht="12.75">
      <c r="A478" s="14" t="s">
        <v>1214</v>
      </c>
      <c r="B478" s="15" t="s">
        <v>760</v>
      </c>
      <c r="C478" s="2">
        <v>6</v>
      </c>
      <c r="E478" s="2">
        <f>85+47+4+34+5+52</f>
        <v>227</v>
      </c>
      <c r="G478" s="2">
        <f>1051+568+28+306+80+525</f>
        <v>2558</v>
      </c>
      <c r="H478" s="17">
        <f t="shared" si="38"/>
        <v>11.268722466960352</v>
      </c>
      <c r="I478" s="2">
        <f>10+5+0+2+0+6</f>
        <v>23</v>
      </c>
      <c r="K478" s="18">
        <f t="shared" si="39"/>
        <v>426.3333333333333</v>
      </c>
    </row>
    <row r="479" spans="1:11" ht="12.75">
      <c r="A479" s="14" t="s">
        <v>1247</v>
      </c>
      <c r="B479" s="15" t="s">
        <v>770</v>
      </c>
      <c r="C479" s="2">
        <v>5</v>
      </c>
      <c r="E479" s="2">
        <f>45+37+30+42+2</f>
        <v>156</v>
      </c>
      <c r="G479" s="2">
        <f>681+662+470+695+24</f>
        <v>2532</v>
      </c>
      <c r="H479" s="17">
        <f t="shared" si="38"/>
        <v>16.23076923076923</v>
      </c>
      <c r="I479" s="2">
        <f>3+9+4+2+0</f>
        <v>18</v>
      </c>
      <c r="K479" s="18">
        <f t="shared" si="39"/>
        <v>506.4</v>
      </c>
    </row>
    <row r="480" spans="1:11" ht="12.75">
      <c r="A480" s="14" t="s">
        <v>1219</v>
      </c>
      <c r="B480" s="15" t="s">
        <v>2026</v>
      </c>
      <c r="C480" s="2">
        <v>3</v>
      </c>
      <c r="E480" s="2">
        <f>68+74+73</f>
        <v>215</v>
      </c>
      <c r="G480" s="2">
        <f>993+778+753</f>
        <v>2524</v>
      </c>
      <c r="H480" s="17">
        <f t="shared" si="38"/>
        <v>11.73953488372093</v>
      </c>
      <c r="I480" s="2">
        <f>8+7+1</f>
        <v>16</v>
      </c>
      <c r="K480" s="18">
        <f t="shared" si="39"/>
        <v>841.3333333333334</v>
      </c>
    </row>
    <row r="481" spans="1:11" ht="12.75">
      <c r="A481" s="14" t="s">
        <v>398</v>
      </c>
      <c r="B481" s="15" t="s">
        <v>1541</v>
      </c>
      <c r="C481" s="2">
        <v>3</v>
      </c>
      <c r="E481" s="2">
        <f>47+51+56</f>
        <v>154</v>
      </c>
      <c r="G481" s="2">
        <f>697+638+1183</f>
        <v>2518</v>
      </c>
      <c r="H481" s="17">
        <f t="shared" si="38"/>
        <v>16.350649350649352</v>
      </c>
      <c r="I481" s="2">
        <f>2+2+10</f>
        <v>14</v>
      </c>
      <c r="K481" s="18">
        <f t="shared" si="39"/>
        <v>839.3333333333334</v>
      </c>
    </row>
    <row r="482" spans="1:11" ht="12.75">
      <c r="A482" s="14" t="s">
        <v>148</v>
      </c>
      <c r="B482" s="15" t="s">
        <v>67</v>
      </c>
      <c r="C482" s="2">
        <v>4</v>
      </c>
      <c r="E482" s="2">
        <f>25+9+50+40</f>
        <v>124</v>
      </c>
      <c r="G482" s="2">
        <f>542+73+1029+853</f>
        <v>2497</v>
      </c>
      <c r="H482" s="17">
        <f t="shared" si="38"/>
        <v>20.137096774193548</v>
      </c>
      <c r="I482" s="2">
        <f>3+0+5+10</f>
        <v>18</v>
      </c>
      <c r="K482" s="18">
        <f t="shared" si="39"/>
        <v>624.25</v>
      </c>
    </row>
    <row r="483" spans="1:11" ht="12.75">
      <c r="A483" s="14" t="s">
        <v>1233</v>
      </c>
      <c r="B483" s="15" t="s">
        <v>2003</v>
      </c>
      <c r="C483" s="2">
        <v>3</v>
      </c>
      <c r="E483" s="2">
        <f>39+29+97</f>
        <v>165</v>
      </c>
      <c r="G483" s="2">
        <f>784+302+1363</f>
        <v>2449</v>
      </c>
      <c r="H483" s="17">
        <f t="shared" si="38"/>
        <v>14.842424242424242</v>
      </c>
      <c r="I483" s="2">
        <f>5+0+12</f>
        <v>17</v>
      </c>
      <c r="K483" s="18">
        <f t="shared" si="39"/>
        <v>816.3333333333334</v>
      </c>
    </row>
    <row r="484" spans="1:11" ht="12.75">
      <c r="A484" s="14" t="s">
        <v>1323</v>
      </c>
      <c r="B484" s="15" t="s">
        <v>1553</v>
      </c>
      <c r="C484" s="2">
        <v>6</v>
      </c>
      <c r="E484" s="2">
        <f>7+9+63+38+50+11</f>
        <v>178</v>
      </c>
      <c r="G484" s="2">
        <f>86+84+758+532+851+135</f>
        <v>2446</v>
      </c>
      <c r="H484" s="17">
        <f t="shared" si="38"/>
        <v>13.741573033707866</v>
      </c>
      <c r="I484" s="2">
        <f>0+0+7+2+9+0</f>
        <v>18</v>
      </c>
      <c r="K484" s="18">
        <f t="shared" si="39"/>
        <v>407.6666666666667</v>
      </c>
    </row>
    <row r="485" spans="1:11" ht="12.75">
      <c r="A485" s="14" t="s">
        <v>1234</v>
      </c>
      <c r="B485" s="15" t="s">
        <v>270</v>
      </c>
      <c r="C485" s="2">
        <v>5</v>
      </c>
      <c r="E485" s="2">
        <f>59+49+40+54+7</f>
        <v>209</v>
      </c>
      <c r="G485" s="2">
        <f>776+541+396+629+97</f>
        <v>2439</v>
      </c>
      <c r="H485" s="17">
        <f aca="true" t="shared" si="40" ref="H485:H548">G485/E485</f>
        <v>11.669856459330143</v>
      </c>
      <c r="I485" s="2">
        <f>8+3+5+4+0</f>
        <v>20</v>
      </c>
      <c r="K485" s="18">
        <f aca="true" t="shared" si="41" ref="K485:K548">IF(C485=0,0,G485/C485)</f>
        <v>487.8</v>
      </c>
    </row>
    <row r="486" spans="1:11" ht="12.75">
      <c r="A486" s="14" t="s">
        <v>1287</v>
      </c>
      <c r="B486" s="15" t="s">
        <v>739</v>
      </c>
      <c r="C486" s="2">
        <v>5</v>
      </c>
      <c r="E486" s="2">
        <f>44+64+49+52+31</f>
        <v>240</v>
      </c>
      <c r="G486" s="2">
        <f>423+624+522+547+290</f>
        <v>2406</v>
      </c>
      <c r="H486" s="17">
        <f t="shared" si="40"/>
        <v>10.025</v>
      </c>
      <c r="I486" s="2">
        <f>4+3+3+2+3</f>
        <v>15</v>
      </c>
      <c r="K486" s="18">
        <f t="shared" si="41"/>
        <v>481.2</v>
      </c>
    </row>
    <row r="487" spans="1:11" ht="12.75">
      <c r="A487" s="14" t="s">
        <v>49</v>
      </c>
      <c r="B487" s="15" t="s">
        <v>766</v>
      </c>
      <c r="C487" s="2">
        <v>3</v>
      </c>
      <c r="E487" s="2">
        <f>58+56+46</f>
        <v>160</v>
      </c>
      <c r="G487" s="2">
        <f>588+990+822</f>
        <v>2400</v>
      </c>
      <c r="H487" s="17">
        <f t="shared" si="40"/>
        <v>15</v>
      </c>
      <c r="I487" s="2">
        <f>0+4+7</f>
        <v>11</v>
      </c>
      <c r="K487" s="18">
        <f t="shared" si="41"/>
        <v>800</v>
      </c>
    </row>
    <row r="488" spans="1:11" ht="12.75">
      <c r="A488" s="14" t="s">
        <v>1107</v>
      </c>
      <c r="B488" s="15" t="s">
        <v>483</v>
      </c>
      <c r="C488" s="2">
        <v>5</v>
      </c>
      <c r="E488" s="2">
        <f>55+36+85+55+25</f>
        <v>256</v>
      </c>
      <c r="G488" s="2">
        <f>572+312+809+485+207</f>
        <v>2385</v>
      </c>
      <c r="H488" s="17">
        <f t="shared" si="40"/>
        <v>9.31640625</v>
      </c>
      <c r="I488" s="2">
        <f>6+6+1+3+0</f>
        <v>16</v>
      </c>
      <c r="K488" s="18">
        <f t="shared" si="41"/>
        <v>477</v>
      </c>
    </row>
    <row r="489" spans="1:11" ht="12.75">
      <c r="A489" s="14" t="s">
        <v>1324</v>
      </c>
      <c r="B489" s="15" t="s">
        <v>1556</v>
      </c>
      <c r="C489" s="2">
        <v>6</v>
      </c>
      <c r="E489" s="2">
        <f>8+1+59+50+57+48</f>
        <v>223</v>
      </c>
      <c r="G489" s="2">
        <f>85+7+516+526+643+592</f>
        <v>2369</v>
      </c>
      <c r="H489" s="17">
        <f t="shared" si="40"/>
        <v>10.623318385650224</v>
      </c>
      <c r="I489" s="2">
        <f>0+0+1+0+2+8</f>
        <v>11</v>
      </c>
      <c r="K489" s="18">
        <f t="shared" si="41"/>
        <v>394.8333333333333</v>
      </c>
    </row>
    <row r="490" spans="1:11" ht="12.75">
      <c r="A490" s="14" t="s">
        <v>1224</v>
      </c>
      <c r="B490" s="15" t="s">
        <v>2026</v>
      </c>
      <c r="C490" s="2">
        <v>3</v>
      </c>
      <c r="E490" s="2">
        <f>75+78+47</f>
        <v>200</v>
      </c>
      <c r="G490" s="2">
        <f>922+871+543</f>
        <v>2336</v>
      </c>
      <c r="H490" s="17">
        <f t="shared" si="40"/>
        <v>11.68</v>
      </c>
      <c r="I490" s="2">
        <f>6+7+6</f>
        <v>19</v>
      </c>
      <c r="K490" s="18">
        <f t="shared" si="41"/>
        <v>778.6666666666666</v>
      </c>
    </row>
    <row r="491" spans="1:11" ht="12.75">
      <c r="A491" s="14" t="s">
        <v>1099</v>
      </c>
      <c r="B491" s="15" t="s">
        <v>440</v>
      </c>
      <c r="C491" s="2">
        <v>7</v>
      </c>
      <c r="E491" s="2">
        <f>82+47+19+22+33+49+3</f>
        <v>255</v>
      </c>
      <c r="G491" s="2">
        <f>762+396+207+203+337+398+17</f>
        <v>2320</v>
      </c>
      <c r="H491" s="17">
        <f t="shared" si="40"/>
        <v>9.098039215686274</v>
      </c>
      <c r="I491" s="2">
        <f>5+1+3+0+3+1+0</f>
        <v>13</v>
      </c>
      <c r="K491" s="18">
        <f t="shared" si="41"/>
        <v>331.42857142857144</v>
      </c>
    </row>
    <row r="492" spans="1:11" ht="12.75">
      <c r="A492" s="14" t="s">
        <v>1710</v>
      </c>
      <c r="B492" s="15" t="s">
        <v>548</v>
      </c>
      <c r="C492" s="2">
        <v>5</v>
      </c>
      <c r="E492" s="2">
        <f>7+70+124+73+7</f>
        <v>281</v>
      </c>
      <c r="G492" s="2">
        <f>76+568+931+666+66</f>
        <v>2307</v>
      </c>
      <c r="H492" s="17">
        <f t="shared" si="40"/>
        <v>8.209964412811388</v>
      </c>
      <c r="I492" s="2">
        <f>0+0+2+2+0</f>
        <v>4</v>
      </c>
      <c r="K492" s="18">
        <f t="shared" si="41"/>
        <v>461.4</v>
      </c>
    </row>
    <row r="493" spans="1:11" ht="12.75">
      <c r="A493" s="14" t="s">
        <v>142</v>
      </c>
      <c r="B493" s="15" t="s">
        <v>595</v>
      </c>
      <c r="C493" s="2">
        <v>3</v>
      </c>
      <c r="E493" s="2">
        <f>49+79+78</f>
        <v>206</v>
      </c>
      <c r="G493" s="2">
        <f>536+920+829</f>
        <v>2285</v>
      </c>
      <c r="H493" s="17">
        <f t="shared" si="40"/>
        <v>11.092233009708737</v>
      </c>
      <c r="I493" s="2">
        <f>2+4</f>
        <v>6</v>
      </c>
      <c r="K493" s="18">
        <f t="shared" si="41"/>
        <v>761.6666666666666</v>
      </c>
    </row>
    <row r="494" spans="1:11" ht="12.75">
      <c r="A494" s="14" t="s">
        <v>1095</v>
      </c>
      <c r="B494" s="15" t="s">
        <v>676</v>
      </c>
      <c r="C494" s="2">
        <v>7</v>
      </c>
      <c r="E494" s="2">
        <f>54+29+32+35+58+51+4</f>
        <v>263</v>
      </c>
      <c r="G494" s="2">
        <f>403+238+280+317+515+496+31</f>
        <v>2280</v>
      </c>
      <c r="H494" s="17">
        <f t="shared" si="40"/>
        <v>8.669201520912548</v>
      </c>
      <c r="I494" s="2">
        <f>2+0+4+1+1+1+0</f>
        <v>9</v>
      </c>
      <c r="K494" s="18">
        <f t="shared" si="41"/>
        <v>325.7142857142857</v>
      </c>
    </row>
    <row r="495" spans="1:11" ht="12.75">
      <c r="A495" s="14" t="s">
        <v>1236</v>
      </c>
      <c r="B495" s="15" t="s">
        <v>124</v>
      </c>
      <c r="C495" s="2">
        <v>3</v>
      </c>
      <c r="E495" s="2">
        <f>36+65+49</f>
        <v>150</v>
      </c>
      <c r="G495" s="2">
        <f>764+786+701</f>
        <v>2251</v>
      </c>
      <c r="H495" s="17">
        <f t="shared" si="40"/>
        <v>15.006666666666666</v>
      </c>
      <c r="I495" s="2">
        <f>5+5+3</f>
        <v>13</v>
      </c>
      <c r="K495" s="18">
        <f t="shared" si="41"/>
        <v>750.3333333333334</v>
      </c>
    </row>
    <row r="496" spans="1:11" ht="12.75">
      <c r="A496" s="14" t="s">
        <v>1332</v>
      </c>
      <c r="B496" s="15" t="s">
        <v>665</v>
      </c>
      <c r="C496" s="2">
        <v>5</v>
      </c>
      <c r="E496" s="2">
        <f>23+6+91+48+2</f>
        <v>170</v>
      </c>
      <c r="G496" s="2">
        <f>265+52+1161+693+18</f>
        <v>2189</v>
      </c>
      <c r="H496" s="17">
        <f t="shared" si="40"/>
        <v>12.876470588235295</v>
      </c>
      <c r="I496" s="2">
        <f>2+0+6+3+0</f>
        <v>11</v>
      </c>
      <c r="K496" s="18">
        <f t="shared" si="41"/>
        <v>437.8</v>
      </c>
    </row>
    <row r="497" spans="1:11" ht="12.75">
      <c r="A497" s="14" t="s">
        <v>458</v>
      </c>
      <c r="B497" s="15" t="s">
        <v>914</v>
      </c>
      <c r="C497" s="2">
        <v>3</v>
      </c>
      <c r="E497" s="2">
        <f>24+78+53</f>
        <v>155</v>
      </c>
      <c r="G497" s="2">
        <f>286+1054+823</f>
        <v>2163</v>
      </c>
      <c r="H497" s="17">
        <f t="shared" si="40"/>
        <v>13.95483870967742</v>
      </c>
      <c r="I497" s="2">
        <f>0+6+1</f>
        <v>7</v>
      </c>
      <c r="K497" s="18">
        <f t="shared" si="41"/>
        <v>721</v>
      </c>
    </row>
    <row r="498" spans="1:11" ht="12.75">
      <c r="A498" s="14" t="s">
        <v>1114</v>
      </c>
      <c r="B498" s="15" t="s">
        <v>301</v>
      </c>
      <c r="C498" s="2">
        <v>5</v>
      </c>
      <c r="E498" s="2">
        <f>37+60+81+51+11</f>
        <v>240</v>
      </c>
      <c r="G498" s="2">
        <f>387+427+774+448+119</f>
        <v>2155</v>
      </c>
      <c r="H498" s="17">
        <f t="shared" si="40"/>
        <v>8.979166666666666</v>
      </c>
      <c r="I498" s="2">
        <f>4+2+3+2+0</f>
        <v>11</v>
      </c>
      <c r="K498" s="18">
        <f t="shared" si="41"/>
        <v>431</v>
      </c>
    </row>
    <row r="499" spans="1:11" ht="12.75">
      <c r="A499" s="14" t="s">
        <v>1157</v>
      </c>
      <c r="B499" s="15" t="s">
        <v>933</v>
      </c>
      <c r="C499" s="2">
        <v>5</v>
      </c>
      <c r="E499" s="2">
        <f>90+28+30+51+51</f>
        <v>250</v>
      </c>
      <c r="G499" s="2">
        <f>759+231+266+406+484</f>
        <v>2146</v>
      </c>
      <c r="H499" s="17">
        <f t="shared" si="40"/>
        <v>8.584</v>
      </c>
      <c r="I499" s="2">
        <f>2+0+2+0+1</f>
        <v>5</v>
      </c>
      <c r="K499" s="18">
        <f t="shared" si="41"/>
        <v>429.2</v>
      </c>
    </row>
    <row r="500" spans="1:11" ht="12.75">
      <c r="A500" s="14" t="s">
        <v>1098</v>
      </c>
      <c r="B500" s="15" t="s">
        <v>895</v>
      </c>
      <c r="C500" s="2">
        <v>4</v>
      </c>
      <c r="E500" s="2">
        <f>98+85+25+1</f>
        <v>209</v>
      </c>
      <c r="G500" s="2">
        <f>887+1008+201+3</f>
        <v>2099</v>
      </c>
      <c r="H500" s="17">
        <f t="shared" si="40"/>
        <v>10.043062200956937</v>
      </c>
      <c r="I500" s="2">
        <f>5+6+1+0</f>
        <v>12</v>
      </c>
      <c r="K500" s="18">
        <f t="shared" si="41"/>
        <v>524.75</v>
      </c>
    </row>
    <row r="501" spans="1:11" ht="12.75">
      <c r="A501" s="14" t="s">
        <v>1115</v>
      </c>
      <c r="B501" s="15" t="s">
        <v>1956</v>
      </c>
      <c r="C501" s="2">
        <v>4</v>
      </c>
      <c r="E501" s="2">
        <f>106+108+5+10</f>
        <v>229</v>
      </c>
      <c r="G501" s="2">
        <f>969+961+32+84</f>
        <v>2046</v>
      </c>
      <c r="H501" s="17">
        <f t="shared" si="40"/>
        <v>8.934497816593886</v>
      </c>
      <c r="I501" s="2">
        <f>2+2+0+0</f>
        <v>4</v>
      </c>
      <c r="K501" s="18">
        <f t="shared" si="41"/>
        <v>511.5</v>
      </c>
    </row>
    <row r="502" spans="1:11" ht="12.75">
      <c r="A502" s="14" t="s">
        <v>1365</v>
      </c>
      <c r="B502" s="15" t="s">
        <v>829</v>
      </c>
      <c r="C502" s="2">
        <v>4</v>
      </c>
      <c r="E502" s="2">
        <f>47+81+31+3</f>
        <v>162</v>
      </c>
      <c r="G502" s="2">
        <f>493+1183+301+48</f>
        <v>2025</v>
      </c>
      <c r="H502" s="17">
        <f t="shared" si="40"/>
        <v>12.5</v>
      </c>
      <c r="I502" s="2">
        <f>2+5+0+0</f>
        <v>7</v>
      </c>
      <c r="K502" s="18">
        <f t="shared" si="41"/>
        <v>506.25</v>
      </c>
    </row>
    <row r="503" spans="1:11" ht="12.75">
      <c r="A503" s="14" t="s">
        <v>1187</v>
      </c>
      <c r="B503" s="15" t="s">
        <v>570</v>
      </c>
      <c r="C503" s="2">
        <v>6</v>
      </c>
      <c r="E503" s="2">
        <f>55+55+16+1+44+42</f>
        <v>213</v>
      </c>
      <c r="G503" s="2">
        <f>567+480+120+7+473+378</f>
        <v>2025</v>
      </c>
      <c r="H503" s="17">
        <f t="shared" si="40"/>
        <v>9.507042253521126</v>
      </c>
      <c r="I503" s="2">
        <f>1+7+1+0+0+0</f>
        <v>9</v>
      </c>
      <c r="K503" s="18">
        <f t="shared" si="41"/>
        <v>337.5</v>
      </c>
    </row>
    <row r="504" spans="1:11" ht="12.75">
      <c r="A504" s="14" t="s">
        <v>1182</v>
      </c>
      <c r="B504" s="15" t="s">
        <v>353</v>
      </c>
      <c r="C504" s="2">
        <v>5</v>
      </c>
      <c r="E504" s="2">
        <f>44+75+61+9+42</f>
        <v>231</v>
      </c>
      <c r="G504" s="2">
        <f>435+613+557+76+338</f>
        <v>2019</v>
      </c>
      <c r="H504" s="17">
        <f t="shared" si="40"/>
        <v>8.74025974025974</v>
      </c>
      <c r="I504" s="2">
        <f>3+4+5+0+0</f>
        <v>12</v>
      </c>
      <c r="K504" s="18">
        <f t="shared" si="41"/>
        <v>403.8</v>
      </c>
    </row>
    <row r="505" spans="1:11" ht="12.75">
      <c r="A505" s="14" t="s">
        <v>1093</v>
      </c>
      <c r="B505" s="15" t="s">
        <v>1538</v>
      </c>
      <c r="C505" s="2">
        <v>6</v>
      </c>
      <c r="E505" s="2">
        <f>11+27+36+41+59+62</f>
        <v>236</v>
      </c>
      <c r="G505" s="2">
        <f>129+236+267+324+499+559</f>
        <v>2014</v>
      </c>
      <c r="H505" s="17">
        <f t="shared" si="40"/>
        <v>8.533898305084746</v>
      </c>
      <c r="I505" s="2">
        <f>1+3+0+1+0+2</f>
        <v>7</v>
      </c>
      <c r="K505" s="18">
        <f t="shared" si="41"/>
        <v>335.6666666666667</v>
      </c>
    </row>
    <row r="506" spans="1:11" ht="12.75">
      <c r="A506" s="14" t="s">
        <v>803</v>
      </c>
      <c r="B506" s="15" t="s">
        <v>700</v>
      </c>
      <c r="C506" s="2">
        <v>2</v>
      </c>
      <c r="E506" s="2">
        <f>59+54</f>
        <v>113</v>
      </c>
      <c r="G506" s="2">
        <f>979+1031</f>
        <v>2010</v>
      </c>
      <c r="H506" s="17">
        <f t="shared" si="40"/>
        <v>17.787610619469028</v>
      </c>
      <c r="I506" s="2">
        <f>8+6</f>
        <v>14</v>
      </c>
      <c r="K506" s="18">
        <f t="shared" si="41"/>
        <v>1005</v>
      </c>
    </row>
    <row r="507" spans="1:11" ht="12.75">
      <c r="A507" s="14" t="s">
        <v>1229</v>
      </c>
      <c r="B507" s="15" t="s">
        <v>340</v>
      </c>
      <c r="C507" s="2">
        <v>5</v>
      </c>
      <c r="E507" s="2">
        <f>87+57+3+6+9</f>
        <v>162</v>
      </c>
      <c r="G507" s="2">
        <f>887+827+24+125+117</f>
        <v>1980</v>
      </c>
      <c r="H507" s="17">
        <f t="shared" si="40"/>
        <v>12.222222222222221</v>
      </c>
      <c r="I507" s="2">
        <f>4+6+0+1+1</f>
        <v>12</v>
      </c>
      <c r="K507" s="18">
        <f t="shared" si="41"/>
        <v>396</v>
      </c>
    </row>
    <row r="508" spans="1:11" ht="12.75">
      <c r="A508" s="14" t="s">
        <v>23</v>
      </c>
      <c r="B508" s="15" t="s">
        <v>67</v>
      </c>
      <c r="C508" s="2">
        <v>4</v>
      </c>
      <c r="E508" s="2">
        <f>66+32+70+50</f>
        <v>218</v>
      </c>
      <c r="G508" s="2">
        <f>670+254+570+465</f>
        <v>1959</v>
      </c>
      <c r="H508" s="17">
        <f t="shared" si="40"/>
        <v>8.986238532110091</v>
      </c>
      <c r="I508" s="2">
        <f>3+0+1+0</f>
        <v>4</v>
      </c>
      <c r="K508" s="18">
        <f t="shared" si="41"/>
        <v>489.75</v>
      </c>
    </row>
    <row r="509" spans="1:11" ht="12.75">
      <c r="A509" s="14" t="s">
        <v>120</v>
      </c>
      <c r="B509" s="15" t="s">
        <v>282</v>
      </c>
      <c r="C509" s="2">
        <v>4</v>
      </c>
      <c r="E509" s="2">
        <f>25+78+11+63</f>
        <v>177</v>
      </c>
      <c r="G509" s="2">
        <f>275+870+128+654</f>
        <v>1927</v>
      </c>
      <c r="H509" s="17">
        <f t="shared" si="40"/>
        <v>10.887005649717514</v>
      </c>
      <c r="I509" s="2">
        <f>0+4+0+3</f>
        <v>7</v>
      </c>
      <c r="K509" s="18">
        <f t="shared" si="41"/>
        <v>481.75</v>
      </c>
    </row>
    <row r="510" spans="1:11" ht="12.75">
      <c r="A510" s="14" t="s">
        <v>45</v>
      </c>
      <c r="B510" s="15" t="s">
        <v>58</v>
      </c>
      <c r="C510" s="2">
        <v>4</v>
      </c>
      <c r="E510" s="2">
        <f>40+51+41+59</f>
        <v>191</v>
      </c>
      <c r="G510" s="2">
        <f>390+549+381+602</f>
        <v>1922</v>
      </c>
      <c r="H510" s="17">
        <f t="shared" si="40"/>
        <v>10.06282722513089</v>
      </c>
      <c r="I510" s="2">
        <f>1+4+4+1</f>
        <v>10</v>
      </c>
      <c r="K510" s="18">
        <f t="shared" si="41"/>
        <v>480.5</v>
      </c>
    </row>
    <row r="511" spans="1:11" ht="12.75">
      <c r="A511" s="14" t="s">
        <v>74</v>
      </c>
      <c r="B511" s="15" t="s">
        <v>73</v>
      </c>
      <c r="C511" s="2">
        <v>3</v>
      </c>
      <c r="E511" s="2">
        <f>102+62+27</f>
        <v>191</v>
      </c>
      <c r="G511" s="2">
        <f>870+775+266</f>
        <v>1911</v>
      </c>
      <c r="H511" s="17">
        <f t="shared" si="40"/>
        <v>10.00523560209424</v>
      </c>
      <c r="I511" s="2">
        <f>6+6+1</f>
        <v>13</v>
      </c>
      <c r="K511" s="18">
        <f t="shared" si="41"/>
        <v>637</v>
      </c>
    </row>
    <row r="512" spans="1:11" ht="12.75">
      <c r="A512" s="14" t="s">
        <v>1105</v>
      </c>
      <c r="B512" s="15" t="s">
        <v>101</v>
      </c>
      <c r="C512" s="2">
        <v>7</v>
      </c>
      <c r="E512" s="2">
        <f>29+29+79+48+2+29+6</f>
        <v>222</v>
      </c>
      <c r="G512" s="2">
        <f>217+242+718+356+26+279+41</f>
        <v>1879</v>
      </c>
      <c r="H512" s="17">
        <f t="shared" si="40"/>
        <v>8.463963963963964</v>
      </c>
      <c r="I512" s="2">
        <f>1+2+3+2+0+1+0</f>
        <v>9</v>
      </c>
      <c r="K512" s="18">
        <f t="shared" si="41"/>
        <v>268.42857142857144</v>
      </c>
    </row>
    <row r="513" spans="1:11" ht="12.75">
      <c r="A513" s="14" t="s">
        <v>1221</v>
      </c>
      <c r="B513" s="15" t="s">
        <v>1831</v>
      </c>
      <c r="C513" s="2">
        <v>3</v>
      </c>
      <c r="E513" s="2">
        <f>15+90+73</f>
        <v>178</v>
      </c>
      <c r="G513" s="2">
        <f>151+988+734</f>
        <v>1873</v>
      </c>
      <c r="H513" s="17">
        <f t="shared" si="40"/>
        <v>10.52247191011236</v>
      </c>
      <c r="I513" s="2">
        <f>1+3+3</f>
        <v>7</v>
      </c>
      <c r="K513" s="18">
        <f t="shared" si="41"/>
        <v>624.3333333333334</v>
      </c>
    </row>
    <row r="514" spans="1:11" ht="12.75">
      <c r="A514" s="14" t="s">
        <v>1747</v>
      </c>
      <c r="B514" s="15" t="s">
        <v>1868</v>
      </c>
      <c r="C514" s="2">
        <v>5</v>
      </c>
      <c r="E514" s="2">
        <f>3+38+49+61+22</f>
        <v>173</v>
      </c>
      <c r="G514" s="2">
        <f>24+391+572+667+202</f>
        <v>1856</v>
      </c>
      <c r="H514" s="17">
        <f t="shared" si="40"/>
        <v>10.728323699421965</v>
      </c>
      <c r="I514" s="2">
        <f>0+4+4+3+2</f>
        <v>13</v>
      </c>
      <c r="K514" s="18">
        <f t="shared" si="41"/>
        <v>371.2</v>
      </c>
    </row>
    <row r="515" spans="1:11" ht="12.75">
      <c r="A515" s="14" t="s">
        <v>376</v>
      </c>
      <c r="B515" s="15" t="s">
        <v>682</v>
      </c>
      <c r="C515" s="2">
        <v>3</v>
      </c>
      <c r="E515" s="2">
        <f>4+73+49</f>
        <v>126</v>
      </c>
      <c r="G515" s="2">
        <f>48+1043+758</f>
        <v>1849</v>
      </c>
      <c r="H515" s="17">
        <f t="shared" si="40"/>
        <v>14.674603174603174</v>
      </c>
      <c r="I515" s="2">
        <f>0+8+3</f>
        <v>11</v>
      </c>
      <c r="K515" s="18">
        <f t="shared" si="41"/>
        <v>616.3333333333334</v>
      </c>
    </row>
    <row r="516" spans="1:11" ht="12.75">
      <c r="A516" s="14" t="s">
        <v>345</v>
      </c>
      <c r="B516" s="15" t="s">
        <v>569</v>
      </c>
      <c r="C516" s="2">
        <v>3</v>
      </c>
      <c r="E516" s="2">
        <f>13+55+67</f>
        <v>135</v>
      </c>
      <c r="G516" s="2">
        <f>222+616+1003</f>
        <v>1841</v>
      </c>
      <c r="H516" s="17">
        <f t="shared" si="40"/>
        <v>13.637037037037038</v>
      </c>
      <c r="I516" s="2">
        <f>0+2+7</f>
        <v>9</v>
      </c>
      <c r="K516" s="18">
        <f t="shared" si="41"/>
        <v>613.6666666666666</v>
      </c>
    </row>
    <row r="517" spans="1:11" ht="12.75">
      <c r="A517" s="14" t="s">
        <v>482</v>
      </c>
      <c r="B517" s="15" t="s">
        <v>1574</v>
      </c>
      <c r="C517" s="2">
        <v>3</v>
      </c>
      <c r="E517" s="2">
        <f>45+47+64</f>
        <v>156</v>
      </c>
      <c r="G517" s="2">
        <f>573+577+675</f>
        <v>1825</v>
      </c>
      <c r="H517" s="17">
        <f t="shared" si="40"/>
        <v>11.698717948717949</v>
      </c>
      <c r="I517" s="2">
        <f>7+6+5</f>
        <v>18</v>
      </c>
      <c r="K517" s="18">
        <f t="shared" si="41"/>
        <v>608.3333333333334</v>
      </c>
    </row>
    <row r="518" spans="1:11" ht="12.75">
      <c r="A518" s="14" t="s">
        <v>1341</v>
      </c>
      <c r="B518" s="15" t="s">
        <v>551</v>
      </c>
      <c r="C518" s="2">
        <v>6</v>
      </c>
      <c r="E518" s="2">
        <f>4+31+11+50+13+27</f>
        <v>136</v>
      </c>
      <c r="G518" s="2">
        <f>30+331+165+841+163+285</f>
        <v>1815</v>
      </c>
      <c r="H518" s="17">
        <f t="shared" si="40"/>
        <v>13.345588235294118</v>
      </c>
      <c r="I518" s="2">
        <f>0+1+0+7+0+3</f>
        <v>11</v>
      </c>
      <c r="K518" s="18">
        <f t="shared" si="41"/>
        <v>302.5</v>
      </c>
    </row>
    <row r="519" spans="1:11" ht="12.75">
      <c r="A519" s="14" t="s">
        <v>1211</v>
      </c>
      <c r="B519" s="15" t="s">
        <v>1034</v>
      </c>
      <c r="C519" s="2">
        <v>2</v>
      </c>
      <c r="E519" s="2">
        <f>89+107</f>
        <v>196</v>
      </c>
      <c r="G519" s="2">
        <f>734+1069</f>
        <v>1803</v>
      </c>
      <c r="H519" s="17">
        <f t="shared" si="40"/>
        <v>9.198979591836734</v>
      </c>
      <c r="I519" s="2">
        <f>6+8</f>
        <v>14</v>
      </c>
      <c r="K519" s="18">
        <f t="shared" si="41"/>
        <v>901.5</v>
      </c>
    </row>
    <row r="520" spans="1:11" ht="12.75">
      <c r="A520" s="14" t="s">
        <v>2004</v>
      </c>
      <c r="B520" s="15" t="s">
        <v>640</v>
      </c>
      <c r="C520" s="2">
        <v>4</v>
      </c>
      <c r="E520" s="2">
        <f>21+86+54+22</f>
        <v>183</v>
      </c>
      <c r="G520" s="2">
        <f>203+889+543+165</f>
        <v>1800</v>
      </c>
      <c r="H520" s="17">
        <f t="shared" si="40"/>
        <v>9.836065573770492</v>
      </c>
      <c r="I520" s="2">
        <f>0+9+1+0</f>
        <v>10</v>
      </c>
      <c r="K520" s="18">
        <f t="shared" si="41"/>
        <v>450</v>
      </c>
    </row>
    <row r="521" spans="1:11" ht="12.75">
      <c r="A521" s="14" t="s">
        <v>1207</v>
      </c>
      <c r="B521" s="15" t="s">
        <v>899</v>
      </c>
      <c r="C521" s="2">
        <v>5</v>
      </c>
      <c r="E521" s="2">
        <f>62+22+17+4+10</f>
        <v>115</v>
      </c>
      <c r="G521" s="2">
        <f>1119+301+215+37+124</f>
        <v>1796</v>
      </c>
      <c r="H521" s="17">
        <f t="shared" si="40"/>
        <v>15.617391304347827</v>
      </c>
      <c r="I521" s="2">
        <f>12+1+1+0+0</f>
        <v>14</v>
      </c>
      <c r="K521" s="18">
        <f t="shared" si="41"/>
        <v>359.2</v>
      </c>
    </row>
    <row r="522" spans="1:11" ht="12.75">
      <c r="A522" s="14" t="s">
        <v>1243</v>
      </c>
      <c r="B522" s="15" t="s">
        <v>1986</v>
      </c>
      <c r="C522" s="2">
        <v>3</v>
      </c>
      <c r="E522" s="2">
        <f>67+69+2</f>
        <v>138</v>
      </c>
      <c r="G522" s="2">
        <f>714+1067+11</f>
        <v>1792</v>
      </c>
      <c r="H522" s="17">
        <f t="shared" si="40"/>
        <v>12.985507246376812</v>
      </c>
      <c r="I522" s="2">
        <f>1+6+0</f>
        <v>7</v>
      </c>
      <c r="K522" s="18">
        <f t="shared" si="41"/>
        <v>597.3333333333334</v>
      </c>
    </row>
    <row r="523" spans="1:11" ht="12.75">
      <c r="A523" s="14" t="s">
        <v>1231</v>
      </c>
      <c r="B523" s="15" t="s">
        <v>1995</v>
      </c>
      <c r="C523" s="2">
        <v>4</v>
      </c>
      <c r="E523" s="2">
        <f>11+40+23+18</f>
        <v>92</v>
      </c>
      <c r="G523" s="2">
        <f>136+800+492+344</f>
        <v>1772</v>
      </c>
      <c r="H523" s="17">
        <f t="shared" si="40"/>
        <v>19.26086956521739</v>
      </c>
      <c r="I523" s="2">
        <f>0+3+3+2</f>
        <v>8</v>
      </c>
      <c r="K523" s="18">
        <f t="shared" si="41"/>
        <v>443</v>
      </c>
    </row>
    <row r="524" spans="1:11" ht="12.75">
      <c r="A524" s="14" t="s">
        <v>1</v>
      </c>
      <c r="B524" s="15" t="s">
        <v>698</v>
      </c>
      <c r="C524" s="2">
        <v>3</v>
      </c>
      <c r="E524" s="2">
        <f>45+101+64</f>
        <v>210</v>
      </c>
      <c r="G524" s="2">
        <f>409+901+443</f>
        <v>1753</v>
      </c>
      <c r="H524" s="17">
        <f t="shared" si="40"/>
        <v>8.347619047619048</v>
      </c>
      <c r="I524" s="2">
        <f>0+5+3</f>
        <v>8</v>
      </c>
      <c r="K524" s="18">
        <f t="shared" si="41"/>
        <v>584.3333333333334</v>
      </c>
    </row>
    <row r="525" spans="1:11" ht="12.75">
      <c r="A525" s="14" t="s">
        <v>1094</v>
      </c>
      <c r="B525" s="15" t="s">
        <v>711</v>
      </c>
      <c r="C525" s="2">
        <v>7</v>
      </c>
      <c r="E525" s="2">
        <f>29+7+12+11+25+55+52</f>
        <v>191</v>
      </c>
      <c r="G525" s="2">
        <f>249+77+108+103+252+506+441</f>
        <v>1736</v>
      </c>
      <c r="H525" s="17">
        <f t="shared" si="40"/>
        <v>9.089005235602095</v>
      </c>
      <c r="I525" s="2">
        <f>2+0+1+0+0+0+1</f>
        <v>4</v>
      </c>
      <c r="K525" s="18">
        <f t="shared" si="41"/>
        <v>248</v>
      </c>
    </row>
    <row r="526" spans="1:11" ht="12.75">
      <c r="A526" s="14" t="s">
        <v>1343</v>
      </c>
      <c r="B526" s="15" t="s">
        <v>101</v>
      </c>
      <c r="C526" s="2">
        <v>7</v>
      </c>
      <c r="E526" s="2">
        <f>2+3+8+56+11+47+39</f>
        <v>166</v>
      </c>
      <c r="G526" s="2">
        <f>18+28+69+603+122+466+421</f>
        <v>1727</v>
      </c>
      <c r="H526" s="17">
        <f t="shared" si="40"/>
        <v>10.403614457831326</v>
      </c>
      <c r="I526" s="2">
        <f>0+0+3+2+3+1+0</f>
        <v>9</v>
      </c>
      <c r="K526" s="18">
        <f t="shared" si="41"/>
        <v>246.71428571428572</v>
      </c>
    </row>
    <row r="527" spans="1:11" ht="12.75">
      <c r="A527" s="14" t="s">
        <v>1345</v>
      </c>
      <c r="B527" s="15" t="s">
        <v>1575</v>
      </c>
      <c r="C527" s="2">
        <v>7</v>
      </c>
      <c r="E527" s="2">
        <f>4+2+9+10+10+68+42</f>
        <v>145</v>
      </c>
      <c r="G527" s="2">
        <f>33+23+74+101+121+813+555</f>
        <v>1720</v>
      </c>
      <c r="H527" s="17">
        <f t="shared" si="40"/>
        <v>11.862068965517242</v>
      </c>
      <c r="I527" s="2">
        <f>0+0+0+0+0+5+1</f>
        <v>6</v>
      </c>
      <c r="K527" s="18">
        <f t="shared" si="41"/>
        <v>245.71428571428572</v>
      </c>
    </row>
    <row r="528" spans="1:11" ht="12.75">
      <c r="A528" s="14" t="s">
        <v>1168</v>
      </c>
      <c r="B528" s="15" t="s">
        <v>438</v>
      </c>
      <c r="C528" s="2">
        <v>5</v>
      </c>
      <c r="E528" s="2">
        <f>56+58+67+3+6</f>
        <v>190</v>
      </c>
      <c r="G528" s="2">
        <f>463+519+656+17+64</f>
        <v>1719</v>
      </c>
      <c r="H528" s="17">
        <f t="shared" si="40"/>
        <v>9.047368421052632</v>
      </c>
      <c r="I528" s="2">
        <f>4+3+1+0+0</f>
        <v>8</v>
      </c>
      <c r="K528" s="18">
        <f t="shared" si="41"/>
        <v>343.8</v>
      </c>
    </row>
    <row r="529" spans="1:11" ht="12.75">
      <c r="A529" s="14" t="s">
        <v>1286</v>
      </c>
      <c r="B529" s="15" t="s">
        <v>1961</v>
      </c>
      <c r="C529" s="2">
        <v>4</v>
      </c>
      <c r="E529" s="2">
        <f>35+44+39+58</f>
        <v>176</v>
      </c>
      <c r="G529" s="2">
        <f>340+437+365+575</f>
        <v>1717</v>
      </c>
      <c r="H529" s="17">
        <f t="shared" si="40"/>
        <v>9.755681818181818</v>
      </c>
      <c r="I529" s="2">
        <f>2+2+1+2</f>
        <v>7</v>
      </c>
      <c r="K529" s="18">
        <f t="shared" si="41"/>
        <v>429.25</v>
      </c>
    </row>
    <row r="530" spans="1:11" ht="12.75">
      <c r="A530" s="14" t="s">
        <v>1298</v>
      </c>
      <c r="B530" s="15" t="s">
        <v>353</v>
      </c>
      <c r="C530" s="2">
        <v>5</v>
      </c>
      <c r="E530" s="2">
        <f>61+22+49+3+6</f>
        <v>141</v>
      </c>
      <c r="G530" s="2">
        <f>804+282+527+26+65</f>
        <v>1704</v>
      </c>
      <c r="H530" s="17">
        <f t="shared" si="40"/>
        <v>12.085106382978724</v>
      </c>
      <c r="I530" s="2">
        <f>7+2+0+0+0</f>
        <v>9</v>
      </c>
      <c r="K530" s="18">
        <f t="shared" si="41"/>
        <v>340.8</v>
      </c>
    </row>
    <row r="531" spans="1:11" ht="12.75">
      <c r="A531" s="14" t="s">
        <v>411</v>
      </c>
      <c r="B531" s="15" t="s">
        <v>292</v>
      </c>
      <c r="C531" s="2">
        <v>3</v>
      </c>
      <c r="E531" s="2">
        <f>25+71+93</f>
        <v>189</v>
      </c>
      <c r="G531" s="2">
        <f>287+668+733</f>
        <v>1688</v>
      </c>
      <c r="H531" s="17">
        <f t="shared" si="40"/>
        <v>8.931216931216932</v>
      </c>
      <c r="I531" s="2">
        <f>1+5+4</f>
        <v>10</v>
      </c>
      <c r="K531" s="18">
        <f t="shared" si="41"/>
        <v>562.6666666666666</v>
      </c>
    </row>
    <row r="532" spans="1:11" ht="12.75">
      <c r="A532" s="14" t="s">
        <v>1763</v>
      </c>
      <c r="B532" s="15" t="s">
        <v>677</v>
      </c>
      <c r="C532" s="2">
        <v>5</v>
      </c>
      <c r="E532" s="2">
        <f>16+22+58+14+10</f>
        <v>120</v>
      </c>
      <c r="G532" s="2">
        <f>185+307+781+156+259</f>
        <v>1688</v>
      </c>
      <c r="H532" s="17">
        <f t="shared" si="40"/>
        <v>14.066666666666666</v>
      </c>
      <c r="I532" s="2">
        <f>4+3+5+1+1</f>
        <v>14</v>
      </c>
      <c r="K532" s="18">
        <f t="shared" si="41"/>
        <v>337.6</v>
      </c>
    </row>
    <row r="533" spans="1:11" ht="12.75">
      <c r="A533" s="14" t="s">
        <v>1306</v>
      </c>
      <c r="B533" s="15" t="s">
        <v>1538</v>
      </c>
      <c r="C533" s="2">
        <v>6</v>
      </c>
      <c r="E533" s="2">
        <f>19+36+38+12+8+13</f>
        <v>126</v>
      </c>
      <c r="G533" s="2">
        <f>229+546+507+142+95+163</f>
        <v>1682</v>
      </c>
      <c r="H533" s="17">
        <f t="shared" si="40"/>
        <v>13.34920634920635</v>
      </c>
      <c r="I533" s="2">
        <f>1+2+1+0+1+0</f>
        <v>5</v>
      </c>
      <c r="K533" s="18">
        <f t="shared" si="41"/>
        <v>280.3333333333333</v>
      </c>
    </row>
    <row r="534" spans="1:11" ht="12.75">
      <c r="A534" s="14" t="s">
        <v>1140</v>
      </c>
      <c r="B534" s="15" t="s">
        <v>770</v>
      </c>
      <c r="C534" s="2">
        <v>5</v>
      </c>
      <c r="E534" s="2">
        <f>65+21+6+40+52</f>
        <v>184</v>
      </c>
      <c r="G534" s="2">
        <f>556+290+36+343+440</f>
        <v>1665</v>
      </c>
      <c r="H534" s="17">
        <f t="shared" si="40"/>
        <v>9.048913043478262</v>
      </c>
      <c r="I534" s="2">
        <f>8+1+0+0+1</f>
        <v>10</v>
      </c>
      <c r="K534" s="18">
        <f t="shared" si="41"/>
        <v>333</v>
      </c>
    </row>
    <row r="535" spans="1:11" ht="12.75">
      <c r="A535" s="14" t="s">
        <v>1109</v>
      </c>
      <c r="B535" s="15" t="s">
        <v>874</v>
      </c>
      <c r="C535" s="2">
        <v>4</v>
      </c>
      <c r="E535" s="2">
        <f>65+37+22+63</f>
        <v>187</v>
      </c>
      <c r="G535" s="2">
        <f>600+292+161+577</f>
        <v>1630</v>
      </c>
      <c r="H535" s="17">
        <f t="shared" si="40"/>
        <v>8.716577540106952</v>
      </c>
      <c r="I535" s="2">
        <f>5+0+0+5</f>
        <v>10</v>
      </c>
      <c r="K535" s="18">
        <f t="shared" si="41"/>
        <v>407.5</v>
      </c>
    </row>
    <row r="536" spans="1:11" ht="12.75">
      <c r="A536" s="14" t="s">
        <v>130</v>
      </c>
      <c r="B536" s="15" t="s">
        <v>714</v>
      </c>
      <c r="C536" s="2">
        <v>4</v>
      </c>
      <c r="E536" s="2">
        <f>6+15+18+64</f>
        <v>103</v>
      </c>
      <c r="G536" s="2">
        <f>68+177+360+1023</f>
        <v>1628</v>
      </c>
      <c r="H536" s="17">
        <f t="shared" si="40"/>
        <v>15.805825242718447</v>
      </c>
      <c r="I536" s="2">
        <f>1+0+3+10</f>
        <v>14</v>
      </c>
      <c r="K536" s="18">
        <f t="shared" si="41"/>
        <v>407</v>
      </c>
    </row>
    <row r="537" spans="1:11" ht="12.75">
      <c r="A537" s="14" t="s">
        <v>1112</v>
      </c>
      <c r="B537" s="15" t="s">
        <v>1858</v>
      </c>
      <c r="C537" s="2">
        <v>6</v>
      </c>
      <c r="E537" s="2">
        <f>10+48+30+11+28+44</f>
        <v>171</v>
      </c>
      <c r="G537" s="2">
        <f>118+450+301+77+316+357</f>
        <v>1619</v>
      </c>
      <c r="H537" s="17">
        <f t="shared" si="40"/>
        <v>9.467836257309942</v>
      </c>
      <c r="I537" s="2">
        <f>0+1+0+0+1+0</f>
        <v>2</v>
      </c>
      <c r="K537" s="18">
        <f t="shared" si="41"/>
        <v>269.8333333333333</v>
      </c>
    </row>
    <row r="538" spans="1:11" ht="12.75">
      <c r="A538" s="14" t="s">
        <v>1369</v>
      </c>
      <c r="B538" s="15" t="s">
        <v>775</v>
      </c>
      <c r="C538" s="2">
        <v>4</v>
      </c>
      <c r="E538" s="2">
        <f>29+29+15+49</f>
        <v>122</v>
      </c>
      <c r="G538" s="2">
        <f>370+541+182+517</f>
        <v>1610</v>
      </c>
      <c r="H538" s="17">
        <f t="shared" si="40"/>
        <v>13.19672131147541</v>
      </c>
      <c r="I538" s="2">
        <f>3+1+0+3</f>
        <v>7</v>
      </c>
      <c r="K538" s="18">
        <f t="shared" si="41"/>
        <v>402.5</v>
      </c>
    </row>
    <row r="539" spans="1:11" ht="12.75">
      <c r="A539" s="14" t="s">
        <v>1294</v>
      </c>
      <c r="B539" s="15" t="s">
        <v>758</v>
      </c>
      <c r="C539" s="2">
        <v>3</v>
      </c>
      <c r="E539" s="2">
        <f>39+37+76</f>
        <v>152</v>
      </c>
      <c r="G539" s="2">
        <f>332+313+941</f>
        <v>1586</v>
      </c>
      <c r="H539" s="17">
        <f t="shared" si="40"/>
        <v>10.43421052631579</v>
      </c>
      <c r="I539" s="2">
        <f>1+2+6</f>
        <v>9</v>
      </c>
      <c r="K539" s="18">
        <f t="shared" si="41"/>
        <v>528.6666666666666</v>
      </c>
    </row>
    <row r="540" spans="1:11" ht="12.75">
      <c r="A540" s="14" t="s">
        <v>47</v>
      </c>
      <c r="B540" s="15" t="s">
        <v>58</v>
      </c>
      <c r="C540" s="2">
        <v>4</v>
      </c>
      <c r="E540" s="2">
        <f>25+52+8+54</f>
        <v>139</v>
      </c>
      <c r="G540" s="2">
        <f>206+714+102+552</f>
        <v>1574</v>
      </c>
      <c r="H540" s="17">
        <f t="shared" si="40"/>
        <v>11.323741007194245</v>
      </c>
      <c r="I540" s="2">
        <f>0+3+0+3</f>
        <v>6</v>
      </c>
      <c r="K540" s="18">
        <f t="shared" si="41"/>
        <v>393.5</v>
      </c>
    </row>
    <row r="541" spans="1:11" ht="12.75">
      <c r="A541" s="14" t="s">
        <v>1824</v>
      </c>
      <c r="B541" s="15" t="s">
        <v>267</v>
      </c>
      <c r="C541" s="2">
        <v>3</v>
      </c>
      <c r="E541" s="2">
        <f>2+60+34</f>
        <v>96</v>
      </c>
      <c r="G541" s="2">
        <f>10+925+629</f>
        <v>1564</v>
      </c>
      <c r="H541" s="17">
        <f t="shared" si="40"/>
        <v>16.291666666666668</v>
      </c>
      <c r="I541" s="2">
        <f>1+9+4</f>
        <v>14</v>
      </c>
      <c r="K541" s="18">
        <f t="shared" si="41"/>
        <v>521.3333333333334</v>
      </c>
    </row>
    <row r="542" spans="1:11" ht="12.75">
      <c r="A542" s="14" t="s">
        <v>1146</v>
      </c>
      <c r="B542" s="15" t="s">
        <v>1881</v>
      </c>
      <c r="C542" s="2">
        <v>3</v>
      </c>
      <c r="E542" s="2">
        <f>61+86+24</f>
        <v>171</v>
      </c>
      <c r="G542" s="2">
        <f>531+814+201</f>
        <v>1546</v>
      </c>
      <c r="H542" s="17">
        <f t="shared" si="40"/>
        <v>9.04093567251462</v>
      </c>
      <c r="I542" s="2">
        <f>1+1+0</f>
        <v>2</v>
      </c>
      <c r="K542" s="18">
        <f t="shared" si="41"/>
        <v>515.3333333333334</v>
      </c>
    </row>
    <row r="543" spans="1:11" ht="12.75">
      <c r="A543" s="14" t="s">
        <v>1232</v>
      </c>
      <c r="B543" s="15" t="s">
        <v>1032</v>
      </c>
      <c r="C543" s="2">
        <v>2</v>
      </c>
      <c r="E543" s="2">
        <f>55+73</f>
        <v>128</v>
      </c>
      <c r="G543" s="2">
        <f>731+795</f>
        <v>1526</v>
      </c>
      <c r="H543" s="17">
        <f t="shared" si="40"/>
        <v>11.921875</v>
      </c>
      <c r="I543" s="2">
        <f>2+5</f>
        <v>7</v>
      </c>
      <c r="K543" s="18">
        <f t="shared" si="41"/>
        <v>763</v>
      </c>
    </row>
    <row r="544" spans="1:11" ht="12.75">
      <c r="A544" s="14" t="s">
        <v>30</v>
      </c>
      <c r="B544" s="15" t="s">
        <v>556</v>
      </c>
      <c r="C544" s="2">
        <v>4</v>
      </c>
      <c r="E544" s="2">
        <f>56+52+43+3</f>
        <v>154</v>
      </c>
      <c r="G544" s="2">
        <f>551+497+442+33</f>
        <v>1523</v>
      </c>
      <c r="H544" s="17">
        <f t="shared" si="40"/>
        <v>9.88961038961039</v>
      </c>
      <c r="I544" s="2">
        <f>3+1+1+1</f>
        <v>6</v>
      </c>
      <c r="K544" s="18">
        <f t="shared" si="41"/>
        <v>380.75</v>
      </c>
    </row>
    <row r="545" spans="1:11" ht="12.75">
      <c r="A545" s="14" t="s">
        <v>1725</v>
      </c>
      <c r="B545" s="15" t="s">
        <v>87</v>
      </c>
      <c r="C545" s="2">
        <v>5</v>
      </c>
      <c r="E545" s="2">
        <f>8+2+66+55+10</f>
        <v>141</v>
      </c>
      <c r="G545" s="2">
        <f>117+24+676+546+151</f>
        <v>1514</v>
      </c>
      <c r="H545" s="17">
        <f t="shared" si="40"/>
        <v>10.73758865248227</v>
      </c>
      <c r="I545" s="2">
        <f>0+1+5+3+0</f>
        <v>9</v>
      </c>
      <c r="K545" s="18">
        <f t="shared" si="41"/>
        <v>302.8</v>
      </c>
    </row>
    <row r="546" spans="1:11" ht="12.75">
      <c r="A546" s="14" t="s">
        <v>122</v>
      </c>
      <c r="B546" s="15" t="s">
        <v>901</v>
      </c>
      <c r="C546" s="2">
        <v>4</v>
      </c>
      <c r="E546" s="2">
        <f>12+11+82+2</f>
        <v>107</v>
      </c>
      <c r="G546" s="2">
        <f>145+110+1240+13</f>
        <v>1508</v>
      </c>
      <c r="H546" s="17">
        <f t="shared" si="40"/>
        <v>14.093457943925234</v>
      </c>
      <c r="I546" s="2">
        <f>1+0+11+0</f>
        <v>12</v>
      </c>
      <c r="K546" s="18">
        <f t="shared" si="41"/>
        <v>377</v>
      </c>
    </row>
    <row r="547" spans="1:11" ht="12.75">
      <c r="A547" s="14" t="s">
        <v>404</v>
      </c>
      <c r="B547" s="15" t="s">
        <v>894</v>
      </c>
      <c r="C547" s="2">
        <v>3</v>
      </c>
      <c r="E547" s="2">
        <f>36+43+66</f>
        <v>145</v>
      </c>
      <c r="G547" s="2">
        <f>373+480+652</f>
        <v>1505</v>
      </c>
      <c r="H547" s="17">
        <f t="shared" si="40"/>
        <v>10.379310344827585</v>
      </c>
      <c r="I547" s="2">
        <f>2+1+3</f>
        <v>6</v>
      </c>
      <c r="K547" s="18">
        <f t="shared" si="41"/>
        <v>501.6666666666667</v>
      </c>
    </row>
    <row r="548" spans="1:11" ht="12.75">
      <c r="A548" s="14" t="s">
        <v>1328</v>
      </c>
      <c r="B548" s="15" t="s">
        <v>1831</v>
      </c>
      <c r="C548" s="2">
        <v>3</v>
      </c>
      <c r="E548" s="2">
        <f>127+10+22</f>
        <v>159</v>
      </c>
      <c r="G548" s="2">
        <f>1034+71+356</f>
        <v>1461</v>
      </c>
      <c r="H548" s="17">
        <f t="shared" si="40"/>
        <v>9.18867924528302</v>
      </c>
      <c r="I548" s="2">
        <f>1+1+2</f>
        <v>4</v>
      </c>
      <c r="K548" s="18">
        <f t="shared" si="41"/>
        <v>487</v>
      </c>
    </row>
    <row r="549" spans="1:11" ht="12.75">
      <c r="A549" s="14" t="s">
        <v>1267</v>
      </c>
      <c r="B549" s="15" t="s">
        <v>1557</v>
      </c>
      <c r="C549" s="2">
        <v>3</v>
      </c>
      <c r="E549" s="2">
        <f>19+45+34</f>
        <v>98</v>
      </c>
      <c r="G549" s="2">
        <f>232+620+608</f>
        <v>1460</v>
      </c>
      <c r="H549" s="17">
        <f aca="true" t="shared" si="42" ref="H549:H612">G549/E549</f>
        <v>14.89795918367347</v>
      </c>
      <c r="I549" s="2">
        <f>3+6+4</f>
        <v>13</v>
      </c>
      <c r="K549" s="18">
        <f aca="true" t="shared" si="43" ref="K549:K612">IF(C549=0,0,G549/C549)</f>
        <v>486.6666666666667</v>
      </c>
    </row>
    <row r="550" spans="1:11" ht="12.75">
      <c r="A550" s="14" t="s">
        <v>579</v>
      </c>
      <c r="B550" s="15" t="s">
        <v>553</v>
      </c>
      <c r="C550" s="2">
        <v>2</v>
      </c>
      <c r="E550" s="2">
        <f>57+65</f>
        <v>122</v>
      </c>
      <c r="G550" s="2">
        <f>695+761</f>
        <v>1456</v>
      </c>
      <c r="H550" s="17">
        <f t="shared" si="42"/>
        <v>11.934426229508198</v>
      </c>
      <c r="I550" s="2">
        <f>4+3</f>
        <v>7</v>
      </c>
      <c r="K550" s="18">
        <f t="shared" si="43"/>
        <v>728</v>
      </c>
    </row>
    <row r="551" spans="1:11" ht="12.75">
      <c r="A551" s="14" t="s">
        <v>1295</v>
      </c>
      <c r="B551" s="15" t="s">
        <v>1978</v>
      </c>
      <c r="C551" s="2">
        <v>3</v>
      </c>
      <c r="E551" s="2">
        <f>35+41+54</f>
        <v>130</v>
      </c>
      <c r="G551" s="2">
        <f>324+363+751</f>
        <v>1438</v>
      </c>
      <c r="H551" s="17">
        <f t="shared" si="42"/>
        <v>11.061538461538461</v>
      </c>
      <c r="I551" s="2">
        <f>1+4+2</f>
        <v>7</v>
      </c>
      <c r="K551" s="18">
        <f t="shared" si="43"/>
        <v>479.3333333333333</v>
      </c>
    </row>
    <row r="552" spans="1:11" ht="12.75">
      <c r="A552" s="14" t="s">
        <v>1096</v>
      </c>
      <c r="B552" s="15" t="s">
        <v>932</v>
      </c>
      <c r="C552" s="2">
        <v>5</v>
      </c>
      <c r="E552" s="2">
        <f>106+42+2+12+2</f>
        <v>164</v>
      </c>
      <c r="G552" s="2">
        <f>892+353+21+98+35</f>
        <v>1399</v>
      </c>
      <c r="H552" s="17">
        <f t="shared" si="42"/>
        <v>8.53048780487805</v>
      </c>
      <c r="I552" s="2">
        <f>3+0+0+3+0</f>
        <v>6</v>
      </c>
      <c r="K552" s="18">
        <f t="shared" si="43"/>
        <v>279.8</v>
      </c>
    </row>
    <row r="553" spans="1:11" ht="12.75">
      <c r="A553" s="14" t="s">
        <v>1284</v>
      </c>
      <c r="B553" s="15" t="s">
        <v>1915</v>
      </c>
      <c r="C553" s="2">
        <v>2</v>
      </c>
      <c r="E553" s="2">
        <f>24+59</f>
        <v>83</v>
      </c>
      <c r="G553" s="2">
        <f>463+921</f>
        <v>1384</v>
      </c>
      <c r="H553" s="17">
        <f t="shared" si="42"/>
        <v>16.674698795180724</v>
      </c>
      <c r="I553" s="2">
        <f>2+7</f>
        <v>9</v>
      </c>
      <c r="K553" s="18">
        <f t="shared" si="43"/>
        <v>692</v>
      </c>
    </row>
    <row r="554" spans="1:11" ht="12.75">
      <c r="A554" s="14" t="s">
        <v>1235</v>
      </c>
      <c r="B554" s="15" t="s">
        <v>749</v>
      </c>
      <c r="C554" s="2">
        <v>4</v>
      </c>
      <c r="E554" s="2">
        <f>72+27+11+9</f>
        <v>119</v>
      </c>
      <c r="G554" s="2">
        <f>769+314+135+134</f>
        <v>1352</v>
      </c>
      <c r="H554" s="17">
        <f t="shared" si="42"/>
        <v>11.361344537815127</v>
      </c>
      <c r="I554" s="2">
        <f>9+2+0+0</f>
        <v>11</v>
      </c>
      <c r="K554" s="18">
        <f t="shared" si="43"/>
        <v>338</v>
      </c>
    </row>
    <row r="555" spans="1:11" ht="12.75">
      <c r="A555" s="14" t="s">
        <v>1326</v>
      </c>
      <c r="B555" s="15" t="s">
        <v>938</v>
      </c>
      <c r="C555" s="2">
        <v>4</v>
      </c>
      <c r="E555" s="2">
        <f>10+31+51+2</f>
        <v>94</v>
      </c>
      <c r="G555" s="2">
        <f>76+323+911+16</f>
        <v>1326</v>
      </c>
      <c r="H555" s="17">
        <f t="shared" si="42"/>
        <v>14.106382978723405</v>
      </c>
      <c r="I555" s="2">
        <f>2+2+6+2</f>
        <v>12</v>
      </c>
      <c r="K555" s="18">
        <f t="shared" si="43"/>
        <v>331.5</v>
      </c>
    </row>
    <row r="556" spans="1:11" ht="12.75">
      <c r="A556" s="14" t="s">
        <v>959</v>
      </c>
      <c r="B556" s="15" t="s">
        <v>100</v>
      </c>
      <c r="C556" s="2">
        <v>2</v>
      </c>
      <c r="E556" s="2">
        <f>17+63</f>
        <v>80</v>
      </c>
      <c r="G556" s="2">
        <f>232+1089</f>
        <v>1321</v>
      </c>
      <c r="H556" s="17">
        <f t="shared" si="42"/>
        <v>16.5125</v>
      </c>
      <c r="I556" s="2">
        <f>0+8</f>
        <v>8</v>
      </c>
      <c r="K556" s="18">
        <f t="shared" si="43"/>
        <v>660.5</v>
      </c>
    </row>
    <row r="557" spans="1:11" ht="12.75">
      <c r="A557" s="14" t="s">
        <v>1204</v>
      </c>
      <c r="B557" s="15" t="s">
        <v>1041</v>
      </c>
      <c r="C557" s="2">
        <v>2</v>
      </c>
      <c r="E557" s="2">
        <f>2+98</f>
        <v>100</v>
      </c>
      <c r="G557" s="2">
        <f>22+1276</f>
        <v>1298</v>
      </c>
      <c r="H557" s="17">
        <f t="shared" si="42"/>
        <v>12.98</v>
      </c>
      <c r="I557" s="2">
        <f>0+10</f>
        <v>10</v>
      </c>
      <c r="K557" s="18">
        <f t="shared" si="43"/>
        <v>649</v>
      </c>
    </row>
    <row r="558" spans="1:11" ht="12.75">
      <c r="A558" s="14" t="s">
        <v>1132</v>
      </c>
      <c r="B558" s="15" t="s">
        <v>1558</v>
      </c>
      <c r="C558" s="2">
        <v>5</v>
      </c>
      <c r="E558" s="2">
        <f>11+30+43+54+11</f>
        <v>149</v>
      </c>
      <c r="G558" s="2">
        <f>44+253+381+514+97</f>
        <v>1289</v>
      </c>
      <c r="H558" s="17">
        <f t="shared" si="42"/>
        <v>8.651006711409396</v>
      </c>
      <c r="I558" s="2">
        <f>0+1+0+2+0</f>
        <v>3</v>
      </c>
      <c r="K558" s="18">
        <f t="shared" si="43"/>
        <v>257.8</v>
      </c>
    </row>
    <row r="559" spans="1:11" ht="12.75">
      <c r="A559" s="14" t="s">
        <v>1363</v>
      </c>
      <c r="B559" s="15" t="s">
        <v>1199</v>
      </c>
      <c r="C559" s="2">
        <v>1</v>
      </c>
      <c r="E559" s="2">
        <v>51</v>
      </c>
      <c r="G559" s="2">
        <v>1281</v>
      </c>
      <c r="H559" s="17">
        <f t="shared" si="42"/>
        <v>25.11764705882353</v>
      </c>
      <c r="I559" s="2">
        <v>18</v>
      </c>
      <c r="K559" s="18">
        <f t="shared" si="43"/>
        <v>1281</v>
      </c>
    </row>
    <row r="560" spans="1:11" ht="12.75">
      <c r="A560" s="14" t="s">
        <v>104</v>
      </c>
      <c r="B560" s="15" t="s">
        <v>105</v>
      </c>
      <c r="C560" s="2">
        <v>4</v>
      </c>
      <c r="E560" s="2">
        <f>13+44+46+39</f>
        <v>142</v>
      </c>
      <c r="G560" s="2">
        <f>98+356+419+408</f>
        <v>1281</v>
      </c>
      <c r="H560" s="17">
        <f t="shared" si="42"/>
        <v>9.02112676056338</v>
      </c>
      <c r="I560" s="2">
        <f>0+0+0+1</f>
        <v>1</v>
      </c>
      <c r="K560" s="18">
        <f t="shared" si="43"/>
        <v>320.25</v>
      </c>
    </row>
    <row r="561" spans="1:11" ht="12.75">
      <c r="A561" s="14" t="s">
        <v>790</v>
      </c>
      <c r="B561" s="15" t="s">
        <v>1255</v>
      </c>
      <c r="C561" s="2">
        <v>2</v>
      </c>
      <c r="E561" s="2">
        <f>84+34</f>
        <v>118</v>
      </c>
      <c r="G561" s="2">
        <f>917+360</f>
        <v>1277</v>
      </c>
      <c r="H561" s="17">
        <f t="shared" si="42"/>
        <v>10.822033898305085</v>
      </c>
      <c r="I561" s="2">
        <f>6+1</f>
        <v>7</v>
      </c>
      <c r="K561" s="18">
        <f t="shared" si="43"/>
        <v>638.5</v>
      </c>
    </row>
    <row r="562" spans="1:11" ht="12.75">
      <c r="A562" s="14" t="s">
        <v>48</v>
      </c>
      <c r="B562" s="15" t="s">
        <v>730</v>
      </c>
      <c r="C562" s="2">
        <v>3</v>
      </c>
      <c r="E562" s="2">
        <f>6+50+53</f>
        <v>109</v>
      </c>
      <c r="G562" s="2">
        <f>48+494+731</f>
        <v>1273</v>
      </c>
      <c r="H562" s="17">
        <f t="shared" si="42"/>
        <v>11.678899082568808</v>
      </c>
      <c r="I562" s="2">
        <f>0+0+3</f>
        <v>3</v>
      </c>
      <c r="K562" s="18">
        <f t="shared" si="43"/>
        <v>424.3333333333333</v>
      </c>
    </row>
    <row r="563" spans="1:11" ht="12.75">
      <c r="A563" s="14" t="s">
        <v>1273</v>
      </c>
      <c r="B563" s="15" t="s">
        <v>1831</v>
      </c>
      <c r="C563" s="2">
        <v>3</v>
      </c>
      <c r="E563" s="2">
        <f>69+49+1</f>
        <v>119</v>
      </c>
      <c r="G563" s="2">
        <f>668+588+10</f>
        <v>1266</v>
      </c>
      <c r="H563" s="17">
        <f t="shared" si="42"/>
        <v>10.638655462184873</v>
      </c>
      <c r="I563" s="2">
        <f>6+3+0</f>
        <v>9</v>
      </c>
      <c r="K563" s="18">
        <f t="shared" si="43"/>
        <v>422</v>
      </c>
    </row>
    <row r="564" spans="1:11" ht="12.75">
      <c r="A564" s="14" t="s">
        <v>1735</v>
      </c>
      <c r="B564" s="15" t="s">
        <v>2010</v>
      </c>
      <c r="C564" s="2">
        <v>2</v>
      </c>
      <c r="E564" s="2">
        <f>65+41</f>
        <v>106</v>
      </c>
      <c r="G564" s="2">
        <f>798+446</f>
        <v>1244</v>
      </c>
      <c r="H564" s="17">
        <f t="shared" si="42"/>
        <v>11.735849056603774</v>
      </c>
      <c r="I564" s="2">
        <f>9+1</f>
        <v>10</v>
      </c>
      <c r="K564" s="18">
        <f t="shared" si="43"/>
        <v>622</v>
      </c>
    </row>
    <row r="565" spans="1:11" ht="12.75">
      <c r="A565" s="14" t="s">
        <v>1138</v>
      </c>
      <c r="B565" s="15" t="s">
        <v>951</v>
      </c>
      <c r="C565" s="2">
        <v>5</v>
      </c>
      <c r="E565" s="2">
        <f>78+36+8+2+1</f>
        <v>125</v>
      </c>
      <c r="G565" s="2">
        <f>823+318+89+11+3</f>
        <v>1244</v>
      </c>
      <c r="H565" s="17">
        <f t="shared" si="42"/>
        <v>9.952</v>
      </c>
      <c r="I565" s="2">
        <f>1+1+1+1+1</f>
        <v>5</v>
      </c>
      <c r="K565" s="18">
        <f t="shared" si="43"/>
        <v>248.8</v>
      </c>
    </row>
    <row r="566" spans="1:11" ht="12.75">
      <c r="A566" s="14" t="s">
        <v>1248</v>
      </c>
      <c r="B566" s="15" t="s">
        <v>1751</v>
      </c>
      <c r="C566" s="2">
        <v>2</v>
      </c>
      <c r="E566" s="2">
        <f>77+66</f>
        <v>143</v>
      </c>
      <c r="G566" s="2">
        <f>680+563</f>
        <v>1243</v>
      </c>
      <c r="H566" s="17">
        <f t="shared" si="42"/>
        <v>8.692307692307692</v>
      </c>
      <c r="I566" s="2">
        <f>4+2</f>
        <v>6</v>
      </c>
      <c r="K566" s="18">
        <f t="shared" si="43"/>
        <v>621.5</v>
      </c>
    </row>
    <row r="567" spans="1:11" ht="12.75">
      <c r="A567" s="14" t="s">
        <v>1151</v>
      </c>
      <c r="B567" s="15" t="s">
        <v>806</v>
      </c>
      <c r="C567" s="2">
        <v>4</v>
      </c>
      <c r="E567" s="2">
        <f>57+38+34+3</f>
        <v>132</v>
      </c>
      <c r="G567" s="2">
        <f>544+300+379+16</f>
        <v>1239</v>
      </c>
      <c r="H567" s="17">
        <f t="shared" si="42"/>
        <v>9.386363636363637</v>
      </c>
      <c r="I567" s="2">
        <f>1+4+2+1</f>
        <v>8</v>
      </c>
      <c r="K567" s="18">
        <f t="shared" si="43"/>
        <v>309.75</v>
      </c>
    </row>
    <row r="568" spans="1:11" ht="12.75">
      <c r="A568" s="14" t="s">
        <v>1265</v>
      </c>
      <c r="B568" s="15" t="s">
        <v>1974</v>
      </c>
      <c r="C568" s="2">
        <v>3</v>
      </c>
      <c r="E568" s="2">
        <f>46+11+16</f>
        <v>73</v>
      </c>
      <c r="G568" s="2">
        <f>632+169+395</f>
        <v>1196</v>
      </c>
      <c r="H568" s="17">
        <f t="shared" si="42"/>
        <v>16.383561643835616</v>
      </c>
      <c r="I568" s="2">
        <f>3+0+4</f>
        <v>7</v>
      </c>
      <c r="K568" s="18">
        <f t="shared" si="43"/>
        <v>398.6666666666667</v>
      </c>
    </row>
    <row r="569" spans="1:11" ht="12.75">
      <c r="A569" s="14" t="s">
        <v>815</v>
      </c>
      <c r="B569" s="15" t="s">
        <v>281</v>
      </c>
      <c r="C569" s="2">
        <v>2</v>
      </c>
      <c r="E569" s="2">
        <f>50+67</f>
        <v>117</v>
      </c>
      <c r="G569" s="2">
        <f>473+717</f>
        <v>1190</v>
      </c>
      <c r="H569" s="17">
        <f t="shared" si="42"/>
        <v>10.17094017094017</v>
      </c>
      <c r="I569" s="2">
        <f>2+3</f>
        <v>5</v>
      </c>
      <c r="K569" s="18">
        <f t="shared" si="43"/>
        <v>595</v>
      </c>
    </row>
    <row r="570" spans="1:11" ht="12.75">
      <c r="A570" s="14" t="s">
        <v>1307</v>
      </c>
      <c r="B570" s="15" t="s">
        <v>572</v>
      </c>
      <c r="C570" s="2">
        <v>4</v>
      </c>
      <c r="E570" s="2">
        <f>27+55+2+4</f>
        <v>88</v>
      </c>
      <c r="G570" s="2">
        <f>225+860+43+58</f>
        <v>1186</v>
      </c>
      <c r="H570" s="17">
        <f t="shared" si="42"/>
        <v>13.477272727272727</v>
      </c>
      <c r="I570" s="2">
        <f>1+8+0+0</f>
        <v>9</v>
      </c>
      <c r="K570" s="18">
        <f t="shared" si="43"/>
        <v>296.5</v>
      </c>
    </row>
    <row r="571" spans="1:11" ht="12.75">
      <c r="A571" s="14" t="s">
        <v>1705</v>
      </c>
      <c r="B571" s="15" t="s">
        <v>817</v>
      </c>
      <c r="C571" s="2">
        <v>2</v>
      </c>
      <c r="E571" s="2">
        <f>67+20</f>
        <v>87</v>
      </c>
      <c r="G571" s="2">
        <f>894+264</f>
        <v>1158</v>
      </c>
      <c r="H571" s="17">
        <f t="shared" si="42"/>
        <v>13.310344827586206</v>
      </c>
      <c r="I571" s="2">
        <f>6+1</f>
        <v>7</v>
      </c>
      <c r="K571" s="18">
        <f t="shared" si="43"/>
        <v>579</v>
      </c>
    </row>
    <row r="572" spans="1:11" ht="12.75">
      <c r="A572" s="14" t="s">
        <v>1110</v>
      </c>
      <c r="B572" s="15" t="s">
        <v>1990</v>
      </c>
      <c r="C572" s="2">
        <v>3</v>
      </c>
      <c r="E572" s="2">
        <f>59+36+29</f>
        <v>124</v>
      </c>
      <c r="G572" s="2">
        <f>509+414+211</f>
        <v>1134</v>
      </c>
      <c r="H572" s="17">
        <f t="shared" si="42"/>
        <v>9.14516129032258</v>
      </c>
      <c r="I572" s="2">
        <f>2+2+2</f>
        <v>6</v>
      </c>
      <c r="K572" s="18">
        <f t="shared" si="43"/>
        <v>378</v>
      </c>
    </row>
    <row r="573" spans="1:11" ht="12.75">
      <c r="A573" s="14" t="s">
        <v>1100</v>
      </c>
      <c r="B573" s="15" t="s">
        <v>255</v>
      </c>
      <c r="C573" s="2">
        <v>4</v>
      </c>
      <c r="E573" s="2">
        <f>57+42+48+9</f>
        <v>156</v>
      </c>
      <c r="G573" s="2">
        <f>419+338+305+71</f>
        <v>1133</v>
      </c>
      <c r="H573" s="17">
        <f t="shared" si="42"/>
        <v>7.262820512820513</v>
      </c>
      <c r="I573" s="2">
        <f>2+1+1+0</f>
        <v>4</v>
      </c>
      <c r="K573" s="18">
        <f t="shared" si="43"/>
        <v>283.25</v>
      </c>
    </row>
    <row r="574" spans="1:11" ht="12.75">
      <c r="A574" s="14" t="s">
        <v>1289</v>
      </c>
      <c r="B574" s="15" t="s">
        <v>363</v>
      </c>
      <c r="C574" s="2">
        <v>4</v>
      </c>
      <c r="E574" s="2">
        <f>38+22+31+23</f>
        <v>114</v>
      </c>
      <c r="G574" s="2">
        <f>381+210+343+198</f>
        <v>1132</v>
      </c>
      <c r="H574" s="17">
        <f t="shared" si="42"/>
        <v>9.929824561403509</v>
      </c>
      <c r="I574" s="2">
        <f>6+1+2+2</f>
        <v>11</v>
      </c>
      <c r="K574" s="18">
        <f t="shared" si="43"/>
        <v>283</v>
      </c>
    </row>
    <row r="575" spans="1:11" ht="12.75">
      <c r="A575" s="14" t="s">
        <v>1938</v>
      </c>
      <c r="B575" s="15" t="s">
        <v>655</v>
      </c>
      <c r="C575" s="2">
        <v>4</v>
      </c>
      <c r="E575" s="2">
        <f>41+78+27+2</f>
        <v>148</v>
      </c>
      <c r="G575" s="2">
        <f>313+743+49+15</f>
        <v>1120</v>
      </c>
      <c r="H575" s="17">
        <f t="shared" si="42"/>
        <v>7.5675675675675675</v>
      </c>
      <c r="I575" s="2">
        <f>1+2+3+0</f>
        <v>6</v>
      </c>
      <c r="K575" s="18">
        <f t="shared" si="43"/>
        <v>280</v>
      </c>
    </row>
    <row r="576" spans="1:11" ht="12.75">
      <c r="A576" s="14" t="s">
        <v>1813</v>
      </c>
      <c r="B576" s="15" t="s">
        <v>420</v>
      </c>
      <c r="C576" s="2">
        <v>3</v>
      </c>
      <c r="E576" s="2">
        <f>47+32+65</f>
        <v>144</v>
      </c>
      <c r="G576" s="2">
        <f>348+265+504</f>
        <v>1117</v>
      </c>
      <c r="H576" s="17">
        <f t="shared" si="42"/>
        <v>7.756944444444445</v>
      </c>
      <c r="I576" s="2">
        <f>1+0+2</f>
        <v>3</v>
      </c>
      <c r="K576" s="18">
        <f t="shared" si="43"/>
        <v>372.3333333333333</v>
      </c>
    </row>
    <row r="577" spans="1:11" ht="12.75">
      <c r="A577" s="14" t="s">
        <v>664</v>
      </c>
      <c r="B577" s="15" t="s">
        <v>683</v>
      </c>
      <c r="C577" s="2">
        <v>2</v>
      </c>
      <c r="E577" s="2">
        <f>88+29</f>
        <v>117</v>
      </c>
      <c r="G577" s="2">
        <f>759+349</f>
        <v>1108</v>
      </c>
      <c r="H577" s="17">
        <f t="shared" si="42"/>
        <v>9.47008547008547</v>
      </c>
      <c r="I577" s="2">
        <f>9+1</f>
        <v>10</v>
      </c>
      <c r="K577" s="18">
        <f t="shared" si="43"/>
        <v>554</v>
      </c>
    </row>
    <row r="578" spans="1:11" ht="12.75">
      <c r="A578" s="14" t="s">
        <v>507</v>
      </c>
      <c r="B578" s="15" t="s">
        <v>709</v>
      </c>
      <c r="C578" s="2">
        <v>3</v>
      </c>
      <c r="E578" s="2">
        <f>25+46+31</f>
        <v>102</v>
      </c>
      <c r="G578" s="2">
        <f>294+467+337</f>
        <v>1098</v>
      </c>
      <c r="H578" s="17">
        <f t="shared" si="42"/>
        <v>10.764705882352942</v>
      </c>
      <c r="I578" s="2">
        <f>1+2+2</f>
        <v>5</v>
      </c>
      <c r="K578" s="18">
        <f t="shared" si="43"/>
        <v>366</v>
      </c>
    </row>
    <row r="579" spans="1:11" ht="12.75">
      <c r="A579" s="14" t="s">
        <v>131</v>
      </c>
      <c r="B579" s="15" t="s">
        <v>1554</v>
      </c>
      <c r="C579" s="2">
        <v>4</v>
      </c>
      <c r="E579" s="2">
        <f>1+2+49+64</f>
        <v>116</v>
      </c>
      <c r="G579" s="2">
        <f>4+11+397+667</f>
        <v>1079</v>
      </c>
      <c r="H579" s="17">
        <f t="shared" si="42"/>
        <v>9.301724137931034</v>
      </c>
      <c r="I579" s="2">
        <f>0+0+3+1</f>
        <v>4</v>
      </c>
      <c r="K579" s="18">
        <f t="shared" si="43"/>
        <v>269.75</v>
      </c>
    </row>
    <row r="580" spans="1:11" ht="12.75">
      <c r="A580" s="14" t="s">
        <v>387</v>
      </c>
      <c r="B580" s="15" t="s">
        <v>1252</v>
      </c>
      <c r="C580" s="2">
        <v>3</v>
      </c>
      <c r="E580" s="2">
        <f>8+52+30</f>
        <v>90</v>
      </c>
      <c r="G580" s="2">
        <f>140+601+331</f>
        <v>1072</v>
      </c>
      <c r="H580" s="17">
        <f t="shared" si="42"/>
        <v>11.911111111111111</v>
      </c>
      <c r="I580" s="2">
        <f>2+7+1</f>
        <v>10</v>
      </c>
      <c r="K580" s="18">
        <f t="shared" si="43"/>
        <v>357.3333333333333</v>
      </c>
    </row>
    <row r="581" spans="1:11" ht="12.75">
      <c r="A581" s="14" t="s">
        <v>1302</v>
      </c>
      <c r="B581" s="15" t="s">
        <v>90</v>
      </c>
      <c r="C581" s="2">
        <v>6</v>
      </c>
      <c r="E581" s="2">
        <f>75+23+4+1+17+1</f>
        <v>121</v>
      </c>
      <c r="G581" s="2">
        <f>601+260+47+9+145+5</f>
        <v>1067</v>
      </c>
      <c r="H581" s="17">
        <f t="shared" si="42"/>
        <v>8.818181818181818</v>
      </c>
      <c r="I581" s="2">
        <f>10+3+0+0+0+0</f>
        <v>13</v>
      </c>
      <c r="K581" s="18">
        <f t="shared" si="43"/>
        <v>177.83333333333334</v>
      </c>
    </row>
    <row r="582" spans="1:11" ht="12.75">
      <c r="A582" s="14" t="s">
        <v>776</v>
      </c>
      <c r="B582" s="15" t="s">
        <v>299</v>
      </c>
      <c r="C582" s="2">
        <v>2</v>
      </c>
      <c r="E582" s="2">
        <f>19+61</f>
        <v>80</v>
      </c>
      <c r="G582" s="2">
        <f>250+807</f>
        <v>1057</v>
      </c>
      <c r="H582" s="17">
        <f t="shared" si="42"/>
        <v>13.2125</v>
      </c>
      <c r="I582" s="2">
        <f>1+7</f>
        <v>8</v>
      </c>
      <c r="K582" s="18">
        <f t="shared" si="43"/>
        <v>528.5</v>
      </c>
    </row>
    <row r="583" spans="1:11" ht="12.75">
      <c r="A583" s="14" t="s">
        <v>1192</v>
      </c>
      <c r="B583" s="15" t="s">
        <v>1984</v>
      </c>
      <c r="C583" s="2">
        <v>4</v>
      </c>
      <c r="E583" s="2">
        <f>36+5+9+65</f>
        <v>115</v>
      </c>
      <c r="G583" s="2">
        <f>284+34+91+643</f>
        <v>1052</v>
      </c>
      <c r="H583" s="17">
        <f t="shared" si="42"/>
        <v>9.147826086956522</v>
      </c>
      <c r="I583" s="2">
        <f>0+0+0+2</f>
        <v>2</v>
      </c>
      <c r="K583" s="18">
        <f t="shared" si="43"/>
        <v>263</v>
      </c>
    </row>
    <row r="584" spans="1:11" ht="12.75">
      <c r="A584" s="14" t="s">
        <v>2006</v>
      </c>
      <c r="B584" s="15" t="s">
        <v>84</v>
      </c>
      <c r="C584" s="2">
        <v>4</v>
      </c>
      <c r="E584" s="2">
        <f>11+6+38+53</f>
        <v>108</v>
      </c>
      <c r="G584" s="2">
        <f>51+58+309+629</f>
        <v>1047</v>
      </c>
      <c r="H584" s="17">
        <f t="shared" si="42"/>
        <v>9.694444444444445</v>
      </c>
      <c r="I584" s="2">
        <f>0+0+1+0</f>
        <v>1</v>
      </c>
      <c r="K584" s="18">
        <f t="shared" si="43"/>
        <v>261.75</v>
      </c>
    </row>
    <row r="585" spans="1:11" ht="12.75">
      <c r="A585" s="14" t="s">
        <v>405</v>
      </c>
      <c r="B585" s="15" t="s">
        <v>897</v>
      </c>
      <c r="C585" s="2">
        <v>2</v>
      </c>
      <c r="E585" s="2">
        <f>20+66</f>
        <v>86</v>
      </c>
      <c r="G585" s="2">
        <f>310+723</f>
        <v>1033</v>
      </c>
      <c r="H585" s="17">
        <f t="shared" si="42"/>
        <v>12.011627906976743</v>
      </c>
      <c r="I585" s="2">
        <f>3+2</f>
        <v>5</v>
      </c>
      <c r="K585" s="18">
        <f t="shared" si="43"/>
        <v>516.5</v>
      </c>
    </row>
    <row r="586" spans="1:11" ht="12.75">
      <c r="A586" s="14" t="s">
        <v>862</v>
      </c>
      <c r="B586" s="15" t="s">
        <v>315</v>
      </c>
      <c r="C586" s="2">
        <v>2</v>
      </c>
      <c r="E586" s="2">
        <f>36+63</f>
        <v>99</v>
      </c>
      <c r="G586" s="2">
        <f>500+531</f>
        <v>1031</v>
      </c>
      <c r="H586" s="17">
        <f t="shared" si="42"/>
        <v>10.414141414141413</v>
      </c>
      <c r="I586" s="2">
        <f>2+3</f>
        <v>5</v>
      </c>
      <c r="K586" s="18">
        <f t="shared" si="43"/>
        <v>515.5</v>
      </c>
    </row>
    <row r="587" spans="1:11" ht="12.75">
      <c r="A587" s="14" t="s">
        <v>33</v>
      </c>
      <c r="B587" s="15" t="s">
        <v>550</v>
      </c>
      <c r="C587" s="2">
        <v>2</v>
      </c>
      <c r="E587" s="2">
        <f>11+88</f>
        <v>99</v>
      </c>
      <c r="G587" s="2">
        <f>103+902</f>
        <v>1005</v>
      </c>
      <c r="H587" s="17">
        <f t="shared" si="42"/>
        <v>10.151515151515152</v>
      </c>
      <c r="I587" s="2">
        <f>1+2</f>
        <v>3</v>
      </c>
      <c r="K587" s="18">
        <f t="shared" si="43"/>
        <v>502.5</v>
      </c>
    </row>
    <row r="588" spans="1:11" ht="12.75">
      <c r="A588" s="14" t="s">
        <v>1133</v>
      </c>
      <c r="B588" s="15" t="s">
        <v>1772</v>
      </c>
      <c r="C588" s="2">
        <v>2</v>
      </c>
      <c r="E588" s="2">
        <f>88+35</f>
        <v>123</v>
      </c>
      <c r="G588" s="2">
        <f>665+334</f>
        <v>999</v>
      </c>
      <c r="H588" s="17">
        <f t="shared" si="42"/>
        <v>8.121951219512194</v>
      </c>
      <c r="I588" s="2">
        <f>0+2</f>
        <v>2</v>
      </c>
      <c r="K588" s="18">
        <f t="shared" si="43"/>
        <v>499.5</v>
      </c>
    </row>
    <row r="589" spans="1:11" ht="12.75">
      <c r="A589" s="14" t="s">
        <v>36</v>
      </c>
      <c r="B589" s="15" t="s">
        <v>935</v>
      </c>
      <c r="C589" s="2">
        <v>3</v>
      </c>
      <c r="E589" s="2">
        <f>9+10+49</f>
        <v>68</v>
      </c>
      <c r="G589" s="2">
        <f>109+141+746</f>
        <v>996</v>
      </c>
      <c r="H589" s="17">
        <f t="shared" si="42"/>
        <v>14.647058823529411</v>
      </c>
      <c r="I589" s="2">
        <f>1+2+4</f>
        <v>7</v>
      </c>
      <c r="K589" s="18">
        <f t="shared" si="43"/>
        <v>332</v>
      </c>
    </row>
    <row r="590" spans="1:11" ht="12.75">
      <c r="A590" s="14" t="s">
        <v>1354</v>
      </c>
      <c r="B590" s="15" t="s">
        <v>1867</v>
      </c>
      <c r="C590" s="2">
        <v>4</v>
      </c>
      <c r="E590" s="2">
        <f>2+8+54+40</f>
        <v>104</v>
      </c>
      <c r="G590" s="2">
        <f>10+49+531+406</f>
        <v>996</v>
      </c>
      <c r="H590" s="17">
        <f t="shared" si="42"/>
        <v>9.576923076923077</v>
      </c>
      <c r="I590" s="2">
        <f>1+1+5+2</f>
        <v>9</v>
      </c>
      <c r="K590" s="18">
        <f t="shared" si="43"/>
        <v>249</v>
      </c>
    </row>
    <row r="591" spans="1:11" ht="12.75">
      <c r="A591" s="14" t="s">
        <v>1178</v>
      </c>
      <c r="B591" s="15" t="s">
        <v>1760</v>
      </c>
      <c r="C591" s="2">
        <v>3</v>
      </c>
      <c r="E591" s="2">
        <f>52+47+9</f>
        <v>108</v>
      </c>
      <c r="G591" s="2">
        <f>475+446+66</f>
        <v>987</v>
      </c>
      <c r="H591" s="17">
        <f t="shared" si="42"/>
        <v>9.13888888888889</v>
      </c>
      <c r="I591" s="2">
        <f>1+3+0</f>
        <v>4</v>
      </c>
      <c r="K591" s="18">
        <f t="shared" si="43"/>
        <v>329</v>
      </c>
    </row>
    <row r="592" spans="1:11" ht="12.75">
      <c r="A592" s="14" t="s">
        <v>791</v>
      </c>
      <c r="B592" s="15" t="s">
        <v>1255</v>
      </c>
      <c r="C592" s="2">
        <v>2</v>
      </c>
      <c r="E592" s="2">
        <f>45+54</f>
        <v>99</v>
      </c>
      <c r="G592" s="2">
        <f>469+510</f>
        <v>979</v>
      </c>
      <c r="H592" s="17">
        <f t="shared" si="42"/>
        <v>9.88888888888889</v>
      </c>
      <c r="I592" s="2">
        <f>3+1</f>
        <v>4</v>
      </c>
      <c r="K592" s="18">
        <f t="shared" si="43"/>
        <v>489.5</v>
      </c>
    </row>
    <row r="593" spans="1:11" ht="12.75">
      <c r="A593" s="14" t="s">
        <v>400</v>
      </c>
      <c r="B593" s="15" t="s">
        <v>894</v>
      </c>
      <c r="C593" s="2">
        <v>3</v>
      </c>
      <c r="E593" s="2">
        <f>52+42+17</f>
        <v>111</v>
      </c>
      <c r="G593" s="2">
        <f>454+404+117</f>
        <v>975</v>
      </c>
      <c r="H593" s="17">
        <f t="shared" si="42"/>
        <v>8.783783783783784</v>
      </c>
      <c r="I593" s="2">
        <f>3+2+1</f>
        <v>6</v>
      </c>
      <c r="K593" s="18">
        <f t="shared" si="43"/>
        <v>325</v>
      </c>
    </row>
    <row r="594" spans="1:11" ht="12.75">
      <c r="A594" s="14" t="s">
        <v>487</v>
      </c>
      <c r="B594" s="15" t="s">
        <v>445</v>
      </c>
      <c r="C594" s="2">
        <v>3</v>
      </c>
      <c r="E594" s="2">
        <f>39+14+46</f>
        <v>99</v>
      </c>
      <c r="G594" s="2">
        <f>391+146+428</f>
        <v>965</v>
      </c>
      <c r="H594" s="17">
        <f t="shared" si="42"/>
        <v>9.747474747474747</v>
      </c>
      <c r="I594" s="2">
        <f>2+1+0</f>
        <v>3</v>
      </c>
      <c r="K594" s="18">
        <f t="shared" si="43"/>
        <v>321.6666666666667</v>
      </c>
    </row>
    <row r="595" spans="1:11" ht="12.75">
      <c r="A595" s="14" t="s">
        <v>1823</v>
      </c>
      <c r="B595" s="15" t="s">
        <v>804</v>
      </c>
      <c r="C595" s="2">
        <v>3</v>
      </c>
      <c r="E595" s="2">
        <f>45+13+18</f>
        <v>76</v>
      </c>
      <c r="G595" s="2">
        <f>614+143+203</f>
        <v>960</v>
      </c>
      <c r="H595" s="17">
        <f t="shared" si="42"/>
        <v>12.631578947368421</v>
      </c>
      <c r="I595" s="2">
        <f>5+0+2</f>
        <v>7</v>
      </c>
      <c r="K595" s="18">
        <f t="shared" si="43"/>
        <v>320</v>
      </c>
    </row>
    <row r="596" spans="1:11" ht="12.75">
      <c r="A596" s="14" t="s">
        <v>978</v>
      </c>
      <c r="B596" s="15" t="s">
        <v>66</v>
      </c>
      <c r="C596" s="2">
        <v>2</v>
      </c>
      <c r="E596" s="2">
        <f>32+65</f>
        <v>97</v>
      </c>
      <c r="G596" s="2">
        <f>327+632</f>
        <v>959</v>
      </c>
      <c r="H596" s="17">
        <f t="shared" si="42"/>
        <v>9.88659793814433</v>
      </c>
      <c r="I596" s="2">
        <f>2+4</f>
        <v>6</v>
      </c>
      <c r="K596" s="18">
        <f t="shared" si="43"/>
        <v>479.5</v>
      </c>
    </row>
    <row r="597" spans="1:11" ht="12.75">
      <c r="A597" s="14" t="s">
        <v>1134</v>
      </c>
      <c r="B597" s="15" t="s">
        <v>552</v>
      </c>
      <c r="C597" s="2">
        <v>4</v>
      </c>
      <c r="E597" s="2">
        <f>3+4+27+68</f>
        <v>102</v>
      </c>
      <c r="G597" s="2">
        <f>34+36+271+606</f>
        <v>947</v>
      </c>
      <c r="H597" s="17">
        <f t="shared" si="42"/>
        <v>9.284313725490197</v>
      </c>
      <c r="I597" s="2">
        <f>0+0+0+1</f>
        <v>1</v>
      </c>
      <c r="K597" s="18">
        <f t="shared" si="43"/>
        <v>236.75</v>
      </c>
    </row>
    <row r="598" spans="1:11" ht="12.75">
      <c r="A598" s="14" t="s">
        <v>298</v>
      </c>
      <c r="B598" s="15" t="s">
        <v>297</v>
      </c>
      <c r="C598" s="2">
        <v>1</v>
      </c>
      <c r="E598" s="2">
        <f>78</f>
        <v>78</v>
      </c>
      <c r="G598" s="2">
        <f>943</f>
        <v>943</v>
      </c>
      <c r="H598" s="17">
        <f t="shared" si="42"/>
        <v>12.08974358974359</v>
      </c>
      <c r="I598" s="2">
        <f>9</f>
        <v>9</v>
      </c>
      <c r="K598" s="18">
        <f t="shared" si="43"/>
        <v>943</v>
      </c>
    </row>
    <row r="599" spans="1:11" ht="12.75">
      <c r="A599" s="14" t="s">
        <v>1270</v>
      </c>
      <c r="B599" s="15" t="s">
        <v>8</v>
      </c>
      <c r="C599" s="2">
        <v>4</v>
      </c>
      <c r="E599" s="2">
        <f>23+49+2+8</f>
        <v>82</v>
      </c>
      <c r="G599" s="2">
        <f>257+603+17+60</f>
        <v>937</v>
      </c>
      <c r="H599" s="17">
        <f t="shared" si="42"/>
        <v>11.426829268292684</v>
      </c>
      <c r="I599" s="2">
        <f>3+4+2+4</f>
        <v>13</v>
      </c>
      <c r="K599" s="18">
        <f t="shared" si="43"/>
        <v>234.25</v>
      </c>
    </row>
    <row r="600" spans="1:11" ht="12.75">
      <c r="A600" s="14" t="s">
        <v>1130</v>
      </c>
      <c r="B600" s="15" t="s">
        <v>16</v>
      </c>
      <c r="C600" s="2">
        <v>3</v>
      </c>
      <c r="E600" s="2">
        <f>7+66+38</f>
        <v>111</v>
      </c>
      <c r="G600" s="2">
        <f>96+516+312</f>
        <v>924</v>
      </c>
      <c r="H600" s="17">
        <f t="shared" si="42"/>
        <v>8.324324324324325</v>
      </c>
      <c r="I600" s="2">
        <f>0+0+3</f>
        <v>3</v>
      </c>
      <c r="K600" s="18">
        <f t="shared" si="43"/>
        <v>308</v>
      </c>
    </row>
    <row r="601" spans="1:11" ht="12.75">
      <c r="A601" s="14" t="s">
        <v>731</v>
      </c>
      <c r="B601" s="15" t="s">
        <v>55</v>
      </c>
      <c r="C601" s="2">
        <v>2</v>
      </c>
      <c r="E601" s="2">
        <f>51+43</f>
        <v>94</v>
      </c>
      <c r="G601" s="2">
        <f>528+390</f>
        <v>918</v>
      </c>
      <c r="H601" s="17">
        <f t="shared" si="42"/>
        <v>9.76595744680851</v>
      </c>
      <c r="I601" s="2">
        <f>3+0</f>
        <v>3</v>
      </c>
      <c r="K601" s="18">
        <f t="shared" si="43"/>
        <v>459</v>
      </c>
    </row>
    <row r="602" spans="1:11" ht="12.75">
      <c r="A602" s="14" t="s">
        <v>1106</v>
      </c>
      <c r="B602" s="15" t="s">
        <v>571</v>
      </c>
      <c r="C602" s="2">
        <v>5</v>
      </c>
      <c r="E602" s="2">
        <f>27+36+19+21+6</f>
        <v>109</v>
      </c>
      <c r="G602" s="2">
        <f>200+321+111+231+48</f>
        <v>911</v>
      </c>
      <c r="H602" s="17">
        <f t="shared" si="42"/>
        <v>8.357798165137615</v>
      </c>
      <c r="I602" s="2">
        <f>0+1+1+0+0</f>
        <v>2</v>
      </c>
      <c r="K602" s="18">
        <f t="shared" si="43"/>
        <v>182.2</v>
      </c>
    </row>
    <row r="603" spans="1:11" ht="12.75">
      <c r="A603" s="14" t="s">
        <v>1276</v>
      </c>
      <c r="B603" s="15" t="s">
        <v>17</v>
      </c>
      <c r="C603" s="2">
        <v>3</v>
      </c>
      <c r="E603" s="2">
        <f>41+20+4</f>
        <v>65</v>
      </c>
      <c r="G603" s="2">
        <f>564+235+102</f>
        <v>901</v>
      </c>
      <c r="H603" s="17">
        <f t="shared" si="42"/>
        <v>13.861538461538462</v>
      </c>
      <c r="I603" s="2">
        <f>3+0+0</f>
        <v>3</v>
      </c>
      <c r="K603" s="18">
        <f t="shared" si="43"/>
        <v>300.3333333333333</v>
      </c>
    </row>
    <row r="604" spans="1:11" ht="12.75">
      <c r="A604" s="14" t="s">
        <v>1936</v>
      </c>
      <c r="B604" s="15" t="s">
        <v>511</v>
      </c>
      <c r="C604" s="2">
        <v>3</v>
      </c>
      <c r="E604" s="2">
        <f>8+77+1</f>
        <v>86</v>
      </c>
      <c r="G604" s="2">
        <f>68+826+5</f>
        <v>899</v>
      </c>
      <c r="H604" s="17">
        <f t="shared" si="42"/>
        <v>10.453488372093023</v>
      </c>
      <c r="I604" s="2">
        <f>3+6+1</f>
        <v>10</v>
      </c>
      <c r="K604" s="18">
        <f t="shared" si="43"/>
        <v>299.6666666666667</v>
      </c>
    </row>
    <row r="605" spans="1:11" ht="12.75">
      <c r="A605" s="14" t="s">
        <v>928</v>
      </c>
      <c r="B605" s="15" t="s">
        <v>297</v>
      </c>
      <c r="C605" s="2">
        <f>1</f>
        <v>1</v>
      </c>
      <c r="E605" s="2">
        <f>75</f>
        <v>75</v>
      </c>
      <c r="G605" s="2">
        <f>896</f>
        <v>896</v>
      </c>
      <c r="H605" s="17">
        <f t="shared" si="42"/>
        <v>11.946666666666667</v>
      </c>
      <c r="I605" s="2">
        <f>3</f>
        <v>3</v>
      </c>
      <c r="K605" s="18">
        <f t="shared" si="43"/>
        <v>896</v>
      </c>
    </row>
    <row r="606" spans="1:11" ht="12.75">
      <c r="A606" s="14" t="s">
        <v>370</v>
      </c>
      <c r="B606" s="15" t="s">
        <v>1570</v>
      </c>
      <c r="C606" s="2">
        <v>3</v>
      </c>
      <c r="E606" s="2">
        <f>25+26+36</f>
        <v>87</v>
      </c>
      <c r="G606" s="2">
        <f>297+239+360</f>
        <v>896</v>
      </c>
      <c r="H606" s="17">
        <f t="shared" si="42"/>
        <v>10.298850574712644</v>
      </c>
      <c r="I606" s="2">
        <f>3+0+3</f>
        <v>6</v>
      </c>
      <c r="K606" s="18">
        <f t="shared" si="43"/>
        <v>298.6666666666667</v>
      </c>
    </row>
    <row r="607" spans="1:11" ht="12.75">
      <c r="A607" s="14" t="s">
        <v>1377</v>
      </c>
      <c r="B607" s="15" t="s">
        <v>703</v>
      </c>
      <c r="C607" s="2">
        <v>5</v>
      </c>
      <c r="E607" s="2">
        <f>6+44+9+1+6</f>
        <v>66</v>
      </c>
      <c r="G607" s="2">
        <f>66+654+101+27+47</f>
        <v>895</v>
      </c>
      <c r="H607" s="17">
        <f t="shared" si="42"/>
        <v>13.56060606060606</v>
      </c>
      <c r="I607" s="2">
        <f>0+1+0+0+0</f>
        <v>1</v>
      </c>
      <c r="K607" s="18">
        <f t="shared" si="43"/>
        <v>179</v>
      </c>
    </row>
    <row r="608" spans="1:11" ht="12.75">
      <c r="A608" s="14" t="s">
        <v>43</v>
      </c>
      <c r="B608" s="15" t="s">
        <v>1250</v>
      </c>
      <c r="C608" s="2">
        <v>4</v>
      </c>
      <c r="E608" s="2">
        <f>44+1+31+17</f>
        <v>93</v>
      </c>
      <c r="G608" s="2">
        <f>417+13+353+110</f>
        <v>893</v>
      </c>
      <c r="H608" s="17">
        <f t="shared" si="42"/>
        <v>9.602150537634408</v>
      </c>
      <c r="I608" s="2">
        <f>7+0+3+1</f>
        <v>11</v>
      </c>
      <c r="K608" s="18">
        <f t="shared" si="43"/>
        <v>223.25</v>
      </c>
    </row>
    <row r="609" spans="1:11" ht="12.75">
      <c r="A609" s="14" t="s">
        <v>1253</v>
      </c>
      <c r="B609" s="15" t="s">
        <v>1254</v>
      </c>
      <c r="C609" s="2">
        <v>1</v>
      </c>
      <c r="E609" s="2">
        <f>58</f>
        <v>58</v>
      </c>
      <c r="G609" s="2">
        <f>888</f>
        <v>888</v>
      </c>
      <c r="H609" s="17">
        <f t="shared" si="42"/>
        <v>15.310344827586206</v>
      </c>
      <c r="I609" s="2">
        <f>6</f>
        <v>6</v>
      </c>
      <c r="K609" s="18">
        <f t="shared" si="43"/>
        <v>888</v>
      </c>
    </row>
    <row r="610" spans="1:11" ht="12.75">
      <c r="A610" s="14" t="s">
        <v>1119</v>
      </c>
      <c r="B610" s="15" t="s">
        <v>849</v>
      </c>
      <c r="C610" s="2">
        <v>4</v>
      </c>
      <c r="E610" s="2">
        <f>12+2+12+55</f>
        <v>81</v>
      </c>
      <c r="G610" s="2">
        <f>103+21+94+662</f>
        <v>880</v>
      </c>
      <c r="H610" s="17">
        <f t="shared" si="42"/>
        <v>10.864197530864198</v>
      </c>
      <c r="I610" s="2">
        <f>0+0+1+13</f>
        <v>14</v>
      </c>
      <c r="K610" s="18">
        <f t="shared" si="43"/>
        <v>220</v>
      </c>
    </row>
    <row r="611" spans="1:11" ht="12.75">
      <c r="A611" s="14" t="s">
        <v>1864</v>
      </c>
      <c r="B611" s="15" t="s">
        <v>1865</v>
      </c>
      <c r="C611" s="2">
        <v>1</v>
      </c>
      <c r="E611" s="2">
        <f>100</f>
        <v>100</v>
      </c>
      <c r="G611" s="2">
        <f>877</f>
        <v>877</v>
      </c>
      <c r="H611" s="17">
        <f t="shared" si="42"/>
        <v>8.77</v>
      </c>
      <c r="I611" s="2">
        <f>1</f>
        <v>1</v>
      </c>
      <c r="K611" s="18">
        <f t="shared" si="43"/>
        <v>877</v>
      </c>
    </row>
    <row r="612" spans="1:11" ht="12.75">
      <c r="A612" s="14" t="s">
        <v>123</v>
      </c>
      <c r="B612" s="15" t="s">
        <v>424</v>
      </c>
      <c r="C612" s="2">
        <v>2</v>
      </c>
      <c r="E612" s="2">
        <f>24+63</f>
        <v>87</v>
      </c>
      <c r="G612" s="2">
        <f>238+628</f>
        <v>866</v>
      </c>
      <c r="H612" s="17">
        <f t="shared" si="42"/>
        <v>9.954022988505747</v>
      </c>
      <c r="I612" s="2">
        <f>2+3</f>
        <v>5</v>
      </c>
      <c r="K612" s="18">
        <f t="shared" si="43"/>
        <v>433</v>
      </c>
    </row>
    <row r="613" spans="1:11" ht="12.75">
      <c r="A613" s="14" t="s">
        <v>1122</v>
      </c>
      <c r="B613" s="15" t="s">
        <v>813</v>
      </c>
      <c r="C613" s="2">
        <v>5</v>
      </c>
      <c r="E613" s="2">
        <f>19+3+14+19+19</f>
        <v>74</v>
      </c>
      <c r="G613" s="2">
        <f>364+21+134+134+211</f>
        <v>864</v>
      </c>
      <c r="H613" s="17">
        <f aca="true" t="shared" si="44" ref="H613:H676">G613/E613</f>
        <v>11.675675675675675</v>
      </c>
      <c r="I613" s="2">
        <f>2+0+1+0+1</f>
        <v>4</v>
      </c>
      <c r="K613" s="18">
        <f aca="true" t="shared" si="45" ref="K613:K676">IF(C613=0,0,G613/C613)</f>
        <v>172.8</v>
      </c>
    </row>
    <row r="614" spans="1:11" ht="12.75">
      <c r="A614" s="14" t="s">
        <v>280</v>
      </c>
      <c r="B614" s="15" t="s">
        <v>278</v>
      </c>
      <c r="C614" s="2">
        <v>1</v>
      </c>
      <c r="E614" s="2">
        <f>74</f>
        <v>74</v>
      </c>
      <c r="G614" s="2">
        <f>849</f>
        <v>849</v>
      </c>
      <c r="H614" s="17">
        <f t="shared" si="44"/>
        <v>11.472972972972974</v>
      </c>
      <c r="I614" s="2">
        <f>0</f>
        <v>0</v>
      </c>
      <c r="K614" s="18">
        <f t="shared" si="45"/>
        <v>849</v>
      </c>
    </row>
    <row r="615" spans="1:11" ht="12.75">
      <c r="A615" s="14" t="s">
        <v>1318</v>
      </c>
      <c r="B615" s="15" t="s">
        <v>2030</v>
      </c>
      <c r="C615" s="2">
        <v>3</v>
      </c>
      <c r="E615" s="2">
        <f>13+19+40</f>
        <v>72</v>
      </c>
      <c r="G615" s="2">
        <f>115+237+493</f>
        <v>845</v>
      </c>
      <c r="H615" s="17">
        <f t="shared" si="44"/>
        <v>11.73611111111111</v>
      </c>
      <c r="I615" s="2">
        <f>3+1+3</f>
        <v>7</v>
      </c>
      <c r="K615" s="18">
        <f t="shared" si="45"/>
        <v>281.6666666666667</v>
      </c>
    </row>
    <row r="616" spans="1:11" ht="12.75">
      <c r="A616" s="14" t="s">
        <v>127</v>
      </c>
      <c r="B616" s="15" t="s">
        <v>643</v>
      </c>
      <c r="C616" s="2">
        <v>4</v>
      </c>
      <c r="E616" s="2">
        <f>1+3+43+32</f>
        <v>79</v>
      </c>
      <c r="G616" s="2">
        <f>6+18+441+379</f>
        <v>844</v>
      </c>
      <c r="H616" s="17">
        <f t="shared" si="44"/>
        <v>10.683544303797468</v>
      </c>
      <c r="I616" s="2">
        <f>0+0+3+1</f>
        <v>4</v>
      </c>
      <c r="K616" s="18">
        <f t="shared" si="45"/>
        <v>211</v>
      </c>
    </row>
    <row r="617" spans="1:11" ht="12.75">
      <c r="A617" s="14" t="s">
        <v>1364</v>
      </c>
      <c r="B617" s="15" t="s">
        <v>1191</v>
      </c>
      <c r="C617" s="2">
        <v>1</v>
      </c>
      <c r="E617" s="2">
        <v>105</v>
      </c>
      <c r="G617" s="2">
        <v>837</v>
      </c>
      <c r="H617" s="17">
        <f t="shared" si="44"/>
        <v>7.9714285714285715</v>
      </c>
      <c r="I617" s="2">
        <v>4</v>
      </c>
      <c r="K617" s="18">
        <f t="shared" si="45"/>
        <v>837</v>
      </c>
    </row>
    <row r="618" spans="1:11" ht="12.75">
      <c r="A618" s="14" t="s">
        <v>1723</v>
      </c>
      <c r="B618" s="15" t="s">
        <v>2009</v>
      </c>
      <c r="C618" s="2">
        <v>2</v>
      </c>
      <c r="E618" s="2">
        <f>67+2</f>
        <v>69</v>
      </c>
      <c r="G618" s="2">
        <f>826+7</f>
        <v>833</v>
      </c>
      <c r="H618" s="17">
        <f t="shared" si="44"/>
        <v>12.072463768115941</v>
      </c>
      <c r="I618" s="2">
        <f>4+1</f>
        <v>5</v>
      </c>
      <c r="K618" s="18">
        <f t="shared" si="45"/>
        <v>416.5</v>
      </c>
    </row>
    <row r="619" spans="1:11" ht="12.75">
      <c r="A619" s="14" t="s">
        <v>1264</v>
      </c>
      <c r="B619" s="15" t="s">
        <v>1978</v>
      </c>
      <c r="C619" s="2">
        <v>3</v>
      </c>
      <c r="E619" s="2">
        <f>54+18+6</f>
        <v>78</v>
      </c>
      <c r="G619" s="2">
        <f>636+135+55</f>
        <v>826</v>
      </c>
      <c r="H619" s="17">
        <f t="shared" si="44"/>
        <v>10.58974358974359</v>
      </c>
      <c r="I619" s="2">
        <f>7+1+3</f>
        <v>11</v>
      </c>
      <c r="K619" s="18">
        <f t="shared" si="45"/>
        <v>275.3333333333333</v>
      </c>
    </row>
    <row r="620" spans="1:11" ht="12.75">
      <c r="A620" s="14" t="s">
        <v>367</v>
      </c>
      <c r="B620" s="15" t="s">
        <v>1570</v>
      </c>
      <c r="C620" s="2">
        <v>3</v>
      </c>
      <c r="E620" s="2">
        <f>21+26+33</f>
        <v>80</v>
      </c>
      <c r="G620" s="2">
        <f>198+266+347</f>
        <v>811</v>
      </c>
      <c r="H620" s="17">
        <f t="shared" si="44"/>
        <v>10.1375</v>
      </c>
      <c r="I620" s="2">
        <f>0+4+1</f>
        <v>5</v>
      </c>
      <c r="K620" s="18">
        <f t="shared" si="45"/>
        <v>270.3333333333333</v>
      </c>
    </row>
    <row r="621" spans="1:11" ht="12.75">
      <c r="A621" s="14" t="s">
        <v>1329</v>
      </c>
      <c r="B621" s="15" t="s">
        <v>1057</v>
      </c>
      <c r="C621" s="2">
        <v>2</v>
      </c>
      <c r="E621" s="2">
        <f>52+8</f>
        <v>60</v>
      </c>
      <c r="G621" s="2">
        <f>737+70</f>
        <v>807</v>
      </c>
      <c r="H621" s="17">
        <f t="shared" si="44"/>
        <v>13.45</v>
      </c>
      <c r="I621" s="2">
        <f>5+2</f>
        <v>7</v>
      </c>
      <c r="K621" s="18">
        <f t="shared" si="45"/>
        <v>403.5</v>
      </c>
    </row>
    <row r="622" spans="1:11" ht="12.75">
      <c r="A622" s="14" t="s">
        <v>425</v>
      </c>
      <c r="B622" s="15" t="s">
        <v>279</v>
      </c>
      <c r="C622" s="2">
        <v>3</v>
      </c>
      <c r="E622" s="2">
        <f>33+17+30</f>
        <v>80</v>
      </c>
      <c r="G622" s="2">
        <f>343+145+319</f>
        <v>807</v>
      </c>
      <c r="H622" s="17">
        <f t="shared" si="44"/>
        <v>10.0875</v>
      </c>
      <c r="I622" s="2">
        <f>1+1+3</f>
        <v>5</v>
      </c>
      <c r="K622" s="18">
        <f t="shared" si="45"/>
        <v>269</v>
      </c>
    </row>
    <row r="623" spans="1:11" ht="12.75">
      <c r="A623" s="14" t="s">
        <v>369</v>
      </c>
      <c r="B623" s="15" t="s">
        <v>653</v>
      </c>
      <c r="C623" s="2">
        <v>2</v>
      </c>
      <c r="E623" s="2">
        <f>43+24</f>
        <v>67</v>
      </c>
      <c r="G623" s="2">
        <f>471+330</f>
        <v>801</v>
      </c>
      <c r="H623" s="17">
        <f t="shared" si="44"/>
        <v>11.955223880597014</v>
      </c>
      <c r="I623" s="2">
        <f>4+1</f>
        <v>5</v>
      </c>
      <c r="K623" s="18">
        <f t="shared" si="45"/>
        <v>400.5</v>
      </c>
    </row>
    <row r="624" spans="1:11" ht="12.75">
      <c r="A624" s="14" t="s">
        <v>1822</v>
      </c>
      <c r="B624" s="15" t="s">
        <v>1981</v>
      </c>
      <c r="C624" s="2">
        <v>2</v>
      </c>
      <c r="E624" s="2">
        <f>22+65</f>
        <v>87</v>
      </c>
      <c r="G624" s="2">
        <f>215+581</f>
        <v>796</v>
      </c>
      <c r="H624" s="17">
        <f t="shared" si="44"/>
        <v>9.149425287356323</v>
      </c>
      <c r="I624" s="2">
        <f>1+5</f>
        <v>6</v>
      </c>
      <c r="K624" s="18">
        <f t="shared" si="45"/>
        <v>398</v>
      </c>
    </row>
    <row r="625" spans="1:11" ht="12.75">
      <c r="A625" s="14" t="s">
        <v>880</v>
      </c>
      <c r="B625" s="15" t="s">
        <v>878</v>
      </c>
      <c r="C625" s="2">
        <v>1</v>
      </c>
      <c r="E625" s="2">
        <f>62</f>
        <v>62</v>
      </c>
      <c r="G625" s="2">
        <f>793</f>
        <v>793</v>
      </c>
      <c r="H625" s="17">
        <f t="shared" si="44"/>
        <v>12.790322580645162</v>
      </c>
      <c r="I625" s="2">
        <f>2</f>
        <v>2</v>
      </c>
      <c r="K625" s="18">
        <f t="shared" si="45"/>
        <v>793</v>
      </c>
    </row>
    <row r="626" spans="1:11" ht="12.75">
      <c r="A626" s="14" t="s">
        <v>133</v>
      </c>
      <c r="B626" s="15" t="s">
        <v>1988</v>
      </c>
      <c r="C626" s="2">
        <v>1</v>
      </c>
      <c r="E626" s="2">
        <v>29</v>
      </c>
      <c r="G626" s="2">
        <v>783</v>
      </c>
      <c r="H626" s="17">
        <f t="shared" si="44"/>
        <v>27</v>
      </c>
      <c r="I626" s="2">
        <v>2</v>
      </c>
      <c r="K626" s="18">
        <f t="shared" si="45"/>
        <v>783</v>
      </c>
    </row>
    <row r="627" spans="1:11" ht="12.75">
      <c r="A627" s="14" t="s">
        <v>773</v>
      </c>
      <c r="B627" s="15" t="s">
        <v>774</v>
      </c>
      <c r="C627" s="2">
        <v>1</v>
      </c>
      <c r="E627" s="2">
        <f>57</f>
        <v>57</v>
      </c>
      <c r="G627" s="2">
        <f>774</f>
        <v>774</v>
      </c>
      <c r="H627" s="17">
        <f t="shared" si="44"/>
        <v>13.578947368421053</v>
      </c>
      <c r="I627" s="2">
        <f>3</f>
        <v>3</v>
      </c>
      <c r="K627" s="18">
        <f t="shared" si="45"/>
        <v>774</v>
      </c>
    </row>
    <row r="628" spans="1:11" ht="12.75">
      <c r="A628" s="14" t="s">
        <v>1180</v>
      </c>
      <c r="B628" s="15" t="s">
        <v>958</v>
      </c>
      <c r="C628" s="2">
        <v>5</v>
      </c>
      <c r="E628" s="2">
        <f>9+15+13+27+19</f>
        <v>83</v>
      </c>
      <c r="G628" s="2">
        <f>139+126+95+261+153</f>
        <v>774</v>
      </c>
      <c r="H628" s="17">
        <f t="shared" si="44"/>
        <v>9.325301204819278</v>
      </c>
      <c r="I628" s="2">
        <f>0+1+0+0+1</f>
        <v>2</v>
      </c>
      <c r="K628" s="18">
        <f t="shared" si="45"/>
        <v>154.8</v>
      </c>
    </row>
    <row r="629" spans="1:11" ht="12.75">
      <c r="A629" s="14" t="s">
        <v>1366</v>
      </c>
      <c r="B629" s="15" t="s">
        <v>666</v>
      </c>
      <c r="C629" s="2">
        <v>3</v>
      </c>
      <c r="E629" s="2">
        <f>52+38+1</f>
        <v>91</v>
      </c>
      <c r="G629" s="2">
        <f>447+316+10</f>
        <v>773</v>
      </c>
      <c r="H629" s="17">
        <f t="shared" si="44"/>
        <v>8.494505494505495</v>
      </c>
      <c r="I629" s="2">
        <f>3+6+0</f>
        <v>9</v>
      </c>
      <c r="K629" s="18">
        <f t="shared" si="45"/>
        <v>257.6666666666667</v>
      </c>
    </row>
    <row r="630" spans="1:11" ht="12.75">
      <c r="A630" s="14" t="s">
        <v>2013</v>
      </c>
      <c r="B630" s="15" t="s">
        <v>264</v>
      </c>
      <c r="C630" s="2">
        <v>2</v>
      </c>
      <c r="E630" s="2">
        <f>20+67</f>
        <v>87</v>
      </c>
      <c r="G630" s="2">
        <f>175+594</f>
        <v>769</v>
      </c>
      <c r="H630" s="17">
        <f t="shared" si="44"/>
        <v>8.839080459770114</v>
      </c>
      <c r="I630" s="2">
        <f>0+1</f>
        <v>1</v>
      </c>
      <c r="K630" s="18">
        <f t="shared" si="45"/>
        <v>384.5</v>
      </c>
    </row>
    <row r="631" spans="1:11" ht="12.75">
      <c r="A631" s="14" t="s">
        <v>494</v>
      </c>
      <c r="B631" s="15" t="s">
        <v>1542</v>
      </c>
      <c r="C631" s="2">
        <v>3</v>
      </c>
      <c r="E631" s="2">
        <f>44+1+29</f>
        <v>74</v>
      </c>
      <c r="G631" s="2">
        <f>519+5+244</f>
        <v>768</v>
      </c>
      <c r="H631" s="17">
        <f t="shared" si="44"/>
        <v>10.378378378378379</v>
      </c>
      <c r="I631" s="2">
        <f>1+0+2</f>
        <v>3</v>
      </c>
      <c r="K631" s="18">
        <f t="shared" si="45"/>
        <v>256</v>
      </c>
    </row>
    <row r="632" spans="1:11" ht="12.75">
      <c r="A632" s="14" t="s">
        <v>1804</v>
      </c>
      <c r="B632" s="15" t="s">
        <v>805</v>
      </c>
      <c r="C632" s="2">
        <v>2</v>
      </c>
      <c r="E632" s="2">
        <f>68+9</f>
        <v>77</v>
      </c>
      <c r="G632" s="2">
        <f>666+97</f>
        <v>763</v>
      </c>
      <c r="H632" s="17">
        <f t="shared" si="44"/>
        <v>9.909090909090908</v>
      </c>
      <c r="I632" s="2">
        <f>0+0</f>
        <v>0</v>
      </c>
      <c r="K632" s="18">
        <f t="shared" si="45"/>
        <v>381.5</v>
      </c>
    </row>
    <row r="633" spans="1:11" ht="12.75">
      <c r="A633" s="14" t="s">
        <v>1842</v>
      </c>
      <c r="B633" s="15" t="s">
        <v>912</v>
      </c>
      <c r="C633" s="2">
        <v>5</v>
      </c>
      <c r="E633" s="2">
        <f>42+24+16+7+8</f>
        <v>97</v>
      </c>
      <c r="G633" s="2">
        <f>315+197+150+45+49</f>
        <v>756</v>
      </c>
      <c r="H633" s="17">
        <f t="shared" si="44"/>
        <v>7.793814432989691</v>
      </c>
      <c r="I633" s="2">
        <f>1+0+3+2+0</f>
        <v>6</v>
      </c>
      <c r="K633" s="18">
        <f t="shared" si="45"/>
        <v>151.2</v>
      </c>
    </row>
    <row r="634" spans="1:11" ht="12.75">
      <c r="A634" s="14" t="s">
        <v>1121</v>
      </c>
      <c r="B634" s="15" t="s">
        <v>1801</v>
      </c>
      <c r="C634" s="2">
        <v>2</v>
      </c>
      <c r="E634" s="2">
        <f>62+5</f>
        <v>67</v>
      </c>
      <c r="G634" s="2">
        <f>700+50</f>
        <v>750</v>
      </c>
      <c r="H634" s="17">
        <f t="shared" si="44"/>
        <v>11.194029850746269</v>
      </c>
      <c r="I634" s="2">
        <f>5+0</f>
        <v>5</v>
      </c>
      <c r="K634" s="18">
        <f t="shared" si="45"/>
        <v>375</v>
      </c>
    </row>
    <row r="635" spans="1:11" ht="12.75">
      <c r="A635" s="14" t="s">
        <v>1125</v>
      </c>
      <c r="B635" s="15" t="s">
        <v>1184</v>
      </c>
      <c r="C635" s="2">
        <v>2</v>
      </c>
      <c r="E635" s="2">
        <f>81+10</f>
        <v>91</v>
      </c>
      <c r="G635" s="2">
        <f>675+73</f>
        <v>748</v>
      </c>
      <c r="H635" s="17">
        <f t="shared" si="44"/>
        <v>8.219780219780219</v>
      </c>
      <c r="I635" s="2">
        <f>7+0</f>
        <v>7</v>
      </c>
      <c r="K635" s="18">
        <f t="shared" si="45"/>
        <v>374</v>
      </c>
    </row>
    <row r="636" spans="1:11" ht="12.75">
      <c r="A636" s="14" t="s">
        <v>366</v>
      </c>
      <c r="B636" s="15" t="s">
        <v>1570</v>
      </c>
      <c r="C636" s="2">
        <v>3</v>
      </c>
      <c r="E636" s="2">
        <f>47+23+13</f>
        <v>83</v>
      </c>
      <c r="G636" s="2">
        <f>350+228+168</f>
        <v>746</v>
      </c>
      <c r="H636" s="17">
        <f t="shared" si="44"/>
        <v>8.987951807228916</v>
      </c>
      <c r="I636" s="2">
        <f>0+0+0</f>
        <v>0</v>
      </c>
      <c r="K636" s="18">
        <f t="shared" si="45"/>
        <v>248.66666666666666</v>
      </c>
    </row>
    <row r="637" spans="1:11" ht="12.75">
      <c r="A637" s="14" t="s">
        <v>1240</v>
      </c>
      <c r="B637" s="15" t="s">
        <v>1183</v>
      </c>
      <c r="C637" s="2">
        <v>1</v>
      </c>
      <c r="E637" s="2">
        <v>39</v>
      </c>
      <c r="G637" s="2">
        <v>745</v>
      </c>
      <c r="H637" s="17">
        <f t="shared" si="44"/>
        <v>19.102564102564102</v>
      </c>
      <c r="I637" s="2">
        <v>10</v>
      </c>
      <c r="K637" s="18">
        <f t="shared" si="45"/>
        <v>745</v>
      </c>
    </row>
    <row r="638" spans="1:11" ht="12.75">
      <c r="A638" s="14" t="s">
        <v>1844</v>
      </c>
      <c r="B638" s="15" t="s">
        <v>437</v>
      </c>
      <c r="C638" s="2">
        <v>3</v>
      </c>
      <c r="E638" s="2">
        <f>38+25+15</f>
        <v>78</v>
      </c>
      <c r="G638" s="2">
        <f>342+247+135</f>
        <v>724</v>
      </c>
      <c r="H638" s="17">
        <f t="shared" si="44"/>
        <v>9.282051282051283</v>
      </c>
      <c r="I638" s="2">
        <f>2+3+0</f>
        <v>5</v>
      </c>
      <c r="K638" s="18">
        <f t="shared" si="45"/>
        <v>241.33333333333334</v>
      </c>
    </row>
    <row r="639" spans="1:11" ht="12.75">
      <c r="A639" s="14" t="s">
        <v>1169</v>
      </c>
      <c r="B639" s="15" t="s">
        <v>712</v>
      </c>
      <c r="C639" s="2">
        <v>6</v>
      </c>
      <c r="E639" s="2">
        <f>11+8+3+16+24+14</f>
        <v>76</v>
      </c>
      <c r="G639" s="2">
        <f>98+65+34+134+247+146</f>
        <v>724</v>
      </c>
      <c r="H639" s="17">
        <f t="shared" si="44"/>
        <v>9.526315789473685</v>
      </c>
      <c r="I639" s="2">
        <f>1+1+0+0+0+1</f>
        <v>3</v>
      </c>
      <c r="K639" s="18">
        <f t="shared" si="45"/>
        <v>120.66666666666667</v>
      </c>
    </row>
    <row r="640" spans="1:11" ht="12.75">
      <c r="A640" s="14" t="s">
        <v>1762</v>
      </c>
      <c r="B640" s="15" t="s">
        <v>1761</v>
      </c>
      <c r="C640" s="2">
        <v>1</v>
      </c>
      <c r="E640" s="2">
        <v>57</v>
      </c>
      <c r="G640" s="2">
        <v>723</v>
      </c>
      <c r="H640" s="17">
        <f t="shared" si="44"/>
        <v>12.68421052631579</v>
      </c>
      <c r="I640" s="2">
        <v>6</v>
      </c>
      <c r="K640" s="18">
        <f t="shared" si="45"/>
        <v>723</v>
      </c>
    </row>
    <row r="641" spans="1:11" ht="12.75">
      <c r="A641" s="14" t="s">
        <v>615</v>
      </c>
      <c r="B641" s="15" t="s">
        <v>564</v>
      </c>
      <c r="C641" s="2">
        <v>2</v>
      </c>
      <c r="E641" s="2">
        <f>36+29</f>
        <v>65</v>
      </c>
      <c r="G641" s="2">
        <f>348+372</f>
        <v>720</v>
      </c>
      <c r="H641" s="17">
        <f t="shared" si="44"/>
        <v>11.076923076923077</v>
      </c>
      <c r="I641" s="2">
        <f>2+2</f>
        <v>4</v>
      </c>
      <c r="K641" s="18">
        <f t="shared" si="45"/>
        <v>360</v>
      </c>
    </row>
    <row r="642" spans="1:11" ht="12.75">
      <c r="A642" s="14" t="s">
        <v>590</v>
      </c>
      <c r="B642" s="15" t="s">
        <v>753</v>
      </c>
      <c r="C642" s="2">
        <v>3</v>
      </c>
      <c r="E642" s="2">
        <f>10+82+3</f>
        <v>95</v>
      </c>
      <c r="G642" s="2">
        <f>86+593+36</f>
        <v>715</v>
      </c>
      <c r="H642" s="17">
        <f t="shared" si="44"/>
        <v>7.526315789473684</v>
      </c>
      <c r="I642" s="2">
        <f>0+2+0</f>
        <v>2</v>
      </c>
      <c r="K642" s="18">
        <f t="shared" si="45"/>
        <v>238.33333333333334</v>
      </c>
    </row>
    <row r="643" spans="1:11" ht="12.75">
      <c r="A643" s="14" t="s">
        <v>1282</v>
      </c>
      <c r="B643" s="15" t="s">
        <v>1819</v>
      </c>
      <c r="C643" s="2">
        <v>2</v>
      </c>
      <c r="E643" s="2">
        <f>50+12</f>
        <v>62</v>
      </c>
      <c r="G643" s="2">
        <f>487+223</f>
        <v>710</v>
      </c>
      <c r="H643" s="17">
        <f t="shared" si="44"/>
        <v>11.451612903225806</v>
      </c>
      <c r="I643" s="2">
        <f>2+1</f>
        <v>3</v>
      </c>
      <c r="K643" s="18">
        <f t="shared" si="45"/>
        <v>355</v>
      </c>
    </row>
    <row r="644" spans="1:11" ht="12.75">
      <c r="A644" s="14" t="s">
        <v>506</v>
      </c>
      <c r="B644" s="15" t="s">
        <v>715</v>
      </c>
      <c r="C644" s="2">
        <v>2</v>
      </c>
      <c r="E644" s="2">
        <f>36+12</f>
        <v>48</v>
      </c>
      <c r="G644" s="2">
        <f>437+261</f>
        <v>698</v>
      </c>
      <c r="H644" s="17">
        <f t="shared" si="44"/>
        <v>14.541666666666666</v>
      </c>
      <c r="I644" s="2">
        <f>2+3</f>
        <v>5</v>
      </c>
      <c r="K644" s="18">
        <f t="shared" si="45"/>
        <v>349</v>
      </c>
    </row>
    <row r="645" spans="1:11" ht="12.75">
      <c r="A645" s="14" t="s">
        <v>609</v>
      </c>
      <c r="B645" s="15" t="s">
        <v>83</v>
      </c>
      <c r="C645" s="2">
        <v>2</v>
      </c>
      <c r="E645" s="2">
        <f>1+54</f>
        <v>55</v>
      </c>
      <c r="G645" s="2">
        <f>12+675</f>
        <v>687</v>
      </c>
      <c r="H645" s="17">
        <f t="shared" si="44"/>
        <v>12.49090909090909</v>
      </c>
      <c r="I645" s="2">
        <f>0+3</f>
        <v>3</v>
      </c>
      <c r="K645" s="18">
        <f t="shared" si="45"/>
        <v>343.5</v>
      </c>
    </row>
    <row r="646" spans="1:11" ht="12.75">
      <c r="A646" s="14" t="s">
        <v>617</v>
      </c>
      <c r="B646" s="15" t="s">
        <v>564</v>
      </c>
      <c r="C646" s="2">
        <v>2</v>
      </c>
      <c r="E646" s="2">
        <f>36+29</f>
        <v>65</v>
      </c>
      <c r="G646" s="2">
        <f>367+304</f>
        <v>671</v>
      </c>
      <c r="H646" s="17">
        <f t="shared" si="44"/>
        <v>10.323076923076924</v>
      </c>
      <c r="I646" s="2">
        <f>1+1</f>
        <v>2</v>
      </c>
      <c r="K646" s="18">
        <f t="shared" si="45"/>
        <v>335.5</v>
      </c>
    </row>
    <row r="647" spans="1:11" ht="12.75">
      <c r="A647" s="14" t="s">
        <v>1733</v>
      </c>
      <c r="B647" s="15" t="s">
        <v>618</v>
      </c>
      <c r="C647" s="2">
        <v>4</v>
      </c>
      <c r="E647" s="2">
        <f>7+34+18+7</f>
        <v>66</v>
      </c>
      <c r="G647" s="2">
        <f>29+353+215+69</f>
        <v>666</v>
      </c>
      <c r="H647" s="17">
        <f t="shared" si="44"/>
        <v>10.090909090909092</v>
      </c>
      <c r="I647" s="2">
        <f>0+2+1+0</f>
        <v>3</v>
      </c>
      <c r="K647" s="18">
        <f t="shared" si="45"/>
        <v>166.5</v>
      </c>
    </row>
    <row r="648" spans="1:11" ht="12.75">
      <c r="A648" s="14" t="s">
        <v>2017</v>
      </c>
      <c r="B648" s="15" t="s">
        <v>1250</v>
      </c>
      <c r="C648" s="2">
        <v>4</v>
      </c>
      <c r="E648" s="2">
        <f>1+1+39+59</f>
        <v>100</v>
      </c>
      <c r="G648" s="2">
        <f>5+11+302+347</f>
        <v>665</v>
      </c>
      <c r="H648" s="17">
        <f t="shared" si="44"/>
        <v>6.65</v>
      </c>
      <c r="I648" s="2">
        <f>0+1+0+0</f>
        <v>1</v>
      </c>
      <c r="K648" s="18">
        <f t="shared" si="45"/>
        <v>166.25</v>
      </c>
    </row>
    <row r="649" spans="1:11" ht="12.75">
      <c r="A649" s="14" t="s">
        <v>386</v>
      </c>
      <c r="B649" s="15" t="s">
        <v>1252</v>
      </c>
      <c r="C649" s="2">
        <v>3</v>
      </c>
      <c r="E649" s="2">
        <f>55+7+17</f>
        <v>79</v>
      </c>
      <c r="G649" s="2">
        <f>494+57+97</f>
        <v>648</v>
      </c>
      <c r="H649" s="17">
        <f t="shared" si="44"/>
        <v>8.20253164556962</v>
      </c>
      <c r="I649" s="2">
        <f>2+0+0</f>
        <v>2</v>
      </c>
      <c r="K649" s="18">
        <f t="shared" si="45"/>
        <v>216</v>
      </c>
    </row>
    <row r="650" spans="1:11" ht="12.75">
      <c r="A650" s="14" t="s">
        <v>1773</v>
      </c>
      <c r="B650" s="15" t="s">
        <v>391</v>
      </c>
      <c r="C650" s="2">
        <v>3</v>
      </c>
      <c r="E650" s="2">
        <f>35+16+10</f>
        <v>61</v>
      </c>
      <c r="G650" s="2">
        <f>354+178+115</f>
        <v>647</v>
      </c>
      <c r="H650" s="17">
        <f t="shared" si="44"/>
        <v>10.60655737704918</v>
      </c>
      <c r="I650" s="2">
        <f>3+5+4</f>
        <v>12</v>
      </c>
      <c r="K650" s="18">
        <f t="shared" si="45"/>
        <v>215.66666666666666</v>
      </c>
    </row>
    <row r="651" spans="1:11" ht="12.75">
      <c r="A651" s="14" t="s">
        <v>265</v>
      </c>
      <c r="B651" s="15" t="s">
        <v>259</v>
      </c>
      <c r="C651" s="2">
        <v>1</v>
      </c>
      <c r="E651" s="2">
        <f>59</f>
        <v>59</v>
      </c>
      <c r="G651" s="2">
        <f>641</f>
        <v>641</v>
      </c>
      <c r="H651" s="17">
        <f t="shared" si="44"/>
        <v>10.864406779661017</v>
      </c>
      <c r="I651" s="2">
        <f>6</f>
        <v>6</v>
      </c>
      <c r="K651" s="18">
        <f t="shared" si="45"/>
        <v>641</v>
      </c>
    </row>
    <row r="652" spans="1:11" ht="12.75">
      <c r="A652" s="14" t="s">
        <v>641</v>
      </c>
      <c r="B652" s="15" t="s">
        <v>642</v>
      </c>
      <c r="C652" s="2">
        <v>1</v>
      </c>
      <c r="E652" s="2">
        <f>63</f>
        <v>63</v>
      </c>
      <c r="G652" s="2">
        <f>641</f>
        <v>641</v>
      </c>
      <c r="H652" s="17">
        <f t="shared" si="44"/>
        <v>10.174603174603174</v>
      </c>
      <c r="I652" s="2">
        <f>9</f>
        <v>9</v>
      </c>
      <c r="K652" s="18">
        <f t="shared" si="45"/>
        <v>641</v>
      </c>
    </row>
    <row r="653" spans="1:11" ht="12.75">
      <c r="A653" s="14" t="s">
        <v>412</v>
      </c>
      <c r="B653" s="15" t="s">
        <v>409</v>
      </c>
      <c r="C653" s="2">
        <v>1</v>
      </c>
      <c r="E653" s="2">
        <v>51</v>
      </c>
      <c r="G653" s="2">
        <v>638</v>
      </c>
      <c r="H653" s="17">
        <f t="shared" si="44"/>
        <v>12.509803921568627</v>
      </c>
      <c r="I653" s="2">
        <v>5</v>
      </c>
      <c r="K653" s="18">
        <f t="shared" si="45"/>
        <v>638</v>
      </c>
    </row>
    <row r="654" spans="1:11" ht="12.75">
      <c r="A654" s="14" t="s">
        <v>1922</v>
      </c>
      <c r="B654" s="15" t="s">
        <v>145</v>
      </c>
      <c r="C654" s="2">
        <v>2</v>
      </c>
      <c r="E654" s="2">
        <f>58+12</f>
        <v>70</v>
      </c>
      <c r="G654" s="2">
        <f>530+105</f>
        <v>635</v>
      </c>
      <c r="H654" s="17">
        <f t="shared" si="44"/>
        <v>9.071428571428571</v>
      </c>
      <c r="I654" s="2">
        <f>3+2</f>
        <v>5</v>
      </c>
      <c r="K654" s="18">
        <f t="shared" si="45"/>
        <v>317.5</v>
      </c>
    </row>
    <row r="655" spans="1:11" ht="12.75">
      <c r="A655" s="14" t="s">
        <v>35</v>
      </c>
      <c r="B655" s="15" t="s">
        <v>88</v>
      </c>
      <c r="C655" s="2">
        <v>3</v>
      </c>
      <c r="E655" s="2">
        <f>21+25+4</f>
        <v>50</v>
      </c>
      <c r="G655" s="2">
        <f>338+200+96</f>
        <v>634</v>
      </c>
      <c r="H655" s="17">
        <f t="shared" si="44"/>
        <v>12.68</v>
      </c>
      <c r="I655" s="2">
        <f>4+0+0</f>
        <v>4</v>
      </c>
      <c r="K655" s="18">
        <f t="shared" si="45"/>
        <v>211.33333333333334</v>
      </c>
    </row>
    <row r="656" spans="1:11" ht="12.75">
      <c r="A656" s="14" t="s">
        <v>1118</v>
      </c>
      <c r="B656" s="15" t="s">
        <v>1932</v>
      </c>
      <c r="C656" s="2">
        <v>2</v>
      </c>
      <c r="E656" s="2">
        <f>43+19</f>
        <v>62</v>
      </c>
      <c r="G656" s="2">
        <f>433+197</f>
        <v>630</v>
      </c>
      <c r="H656" s="17">
        <f t="shared" si="44"/>
        <v>10.161290322580646</v>
      </c>
      <c r="I656" s="2">
        <f>0+1</f>
        <v>1</v>
      </c>
      <c r="K656" s="18">
        <f t="shared" si="45"/>
        <v>315</v>
      </c>
    </row>
    <row r="657" spans="1:11" ht="12.75">
      <c r="A657" s="14" t="s">
        <v>1381</v>
      </c>
      <c r="B657" s="15" t="s">
        <v>344</v>
      </c>
      <c r="C657" s="2">
        <v>3</v>
      </c>
      <c r="E657" s="2">
        <f>1+5+51</f>
        <v>57</v>
      </c>
      <c r="G657" s="2">
        <f>13+37+580</f>
        <v>630</v>
      </c>
      <c r="H657" s="17">
        <f t="shared" si="44"/>
        <v>11.052631578947368</v>
      </c>
      <c r="I657" s="2">
        <f>0+0+4</f>
        <v>4</v>
      </c>
      <c r="K657" s="18">
        <f t="shared" si="45"/>
        <v>210</v>
      </c>
    </row>
    <row r="658" spans="1:11" ht="12.75">
      <c r="A658" s="14" t="s">
        <v>622</v>
      </c>
      <c r="B658" s="15" t="s">
        <v>564</v>
      </c>
      <c r="C658" s="2">
        <v>2</v>
      </c>
      <c r="E658" s="2">
        <f>4+57</f>
        <v>61</v>
      </c>
      <c r="G658" s="2">
        <f>43+581</f>
        <v>624</v>
      </c>
      <c r="H658" s="17">
        <f t="shared" si="44"/>
        <v>10.229508196721312</v>
      </c>
      <c r="I658" s="2">
        <f>0+3</f>
        <v>3</v>
      </c>
      <c r="K658" s="18">
        <f t="shared" si="45"/>
        <v>312</v>
      </c>
    </row>
    <row r="659" spans="1:11" ht="12.75">
      <c r="A659" s="14" t="s">
        <v>2021</v>
      </c>
      <c r="B659" s="15" t="s">
        <v>1540</v>
      </c>
      <c r="C659" s="2">
        <v>3</v>
      </c>
      <c r="E659" s="2">
        <f>13+40+27</f>
        <v>80</v>
      </c>
      <c r="G659" s="2">
        <f>72+294+255</f>
        <v>621</v>
      </c>
      <c r="H659" s="17">
        <f t="shared" si="44"/>
        <v>7.7625</v>
      </c>
      <c r="I659" s="2">
        <f>0+0+0</f>
        <v>0</v>
      </c>
      <c r="K659" s="18">
        <f t="shared" si="45"/>
        <v>207</v>
      </c>
    </row>
    <row r="660" spans="1:11" ht="12.75">
      <c r="A660" s="14" t="s">
        <v>1155</v>
      </c>
      <c r="B660" s="15" t="s">
        <v>353</v>
      </c>
      <c r="C660" s="2">
        <v>5</v>
      </c>
      <c r="E660" s="2">
        <f>28+27+7+10+9</f>
        <v>81</v>
      </c>
      <c r="G660" s="2">
        <f>227+213+74+61+44</f>
        <v>619</v>
      </c>
      <c r="H660" s="17">
        <f t="shared" si="44"/>
        <v>7.6419753086419755</v>
      </c>
      <c r="I660" s="2">
        <f>1+1+0+0+0</f>
        <v>2</v>
      </c>
      <c r="K660" s="18">
        <f t="shared" si="45"/>
        <v>123.8</v>
      </c>
    </row>
    <row r="661" spans="1:11" ht="12.75">
      <c r="A661" s="14" t="s">
        <v>1269</v>
      </c>
      <c r="B661" s="15" t="s">
        <v>1801</v>
      </c>
      <c r="C661" s="2">
        <v>2</v>
      </c>
      <c r="E661" s="2">
        <f>62+1</f>
        <v>63</v>
      </c>
      <c r="G661" s="2">
        <f>605+7</f>
        <v>612</v>
      </c>
      <c r="H661" s="17">
        <f t="shared" si="44"/>
        <v>9.714285714285714</v>
      </c>
      <c r="I661" s="2">
        <f>8+1</f>
        <v>9</v>
      </c>
      <c r="K661" s="18">
        <f t="shared" si="45"/>
        <v>306</v>
      </c>
    </row>
    <row r="662" spans="1:11" ht="12.75">
      <c r="A662" s="14" t="s">
        <v>591</v>
      </c>
      <c r="B662" s="15" t="s">
        <v>752</v>
      </c>
      <c r="C662" s="2">
        <v>2</v>
      </c>
      <c r="E662" s="2">
        <f>45+22</f>
        <v>67</v>
      </c>
      <c r="G662" s="2">
        <f>409+203</f>
        <v>612</v>
      </c>
      <c r="H662" s="17">
        <f t="shared" si="44"/>
        <v>9.134328358208956</v>
      </c>
      <c r="I662" s="2">
        <f>0+0</f>
        <v>0</v>
      </c>
      <c r="K662" s="18">
        <f t="shared" si="45"/>
        <v>306</v>
      </c>
    </row>
    <row r="663" spans="1:11" ht="12.75">
      <c r="A663" s="14" t="s">
        <v>1123</v>
      </c>
      <c r="B663" s="15" t="s">
        <v>1709</v>
      </c>
      <c r="C663" s="2">
        <v>2</v>
      </c>
      <c r="E663" s="2">
        <f>39+33</f>
        <v>72</v>
      </c>
      <c r="G663" s="2">
        <f>341+271</f>
        <v>612</v>
      </c>
      <c r="H663" s="17">
        <f t="shared" si="44"/>
        <v>8.5</v>
      </c>
      <c r="I663" s="2">
        <f>0+0</f>
        <v>0</v>
      </c>
      <c r="K663" s="18">
        <f t="shared" si="45"/>
        <v>306</v>
      </c>
    </row>
    <row r="664" spans="1:11" ht="12.75">
      <c r="A664" s="14" t="s">
        <v>356</v>
      </c>
      <c r="B664" s="15" t="s">
        <v>1859</v>
      </c>
      <c r="C664" s="2">
        <v>3</v>
      </c>
      <c r="E664" s="2">
        <f>1+38+25</f>
        <v>64</v>
      </c>
      <c r="G664" s="2">
        <f>5+326+281</f>
        <v>612</v>
      </c>
      <c r="H664" s="17">
        <f t="shared" si="44"/>
        <v>9.5625</v>
      </c>
      <c r="I664" s="2">
        <f>0+0+0</f>
        <v>0</v>
      </c>
      <c r="K664" s="18">
        <f t="shared" si="45"/>
        <v>204</v>
      </c>
    </row>
    <row r="665" spans="1:11" ht="12.75">
      <c r="A665" s="14" t="s">
        <v>701</v>
      </c>
      <c r="B665" s="15" t="s">
        <v>694</v>
      </c>
      <c r="C665" s="2">
        <v>1</v>
      </c>
      <c r="E665" s="2">
        <f>49</f>
        <v>49</v>
      </c>
      <c r="G665" s="2">
        <f>611</f>
        <v>611</v>
      </c>
      <c r="H665" s="17">
        <f t="shared" si="44"/>
        <v>12.46938775510204</v>
      </c>
      <c r="I665" s="2">
        <f>2</f>
        <v>2</v>
      </c>
      <c r="K665" s="18">
        <f t="shared" si="45"/>
        <v>611</v>
      </c>
    </row>
    <row r="666" spans="1:11" ht="12.75">
      <c r="A666" s="14" t="s">
        <v>1303</v>
      </c>
      <c r="B666" s="15" t="s">
        <v>1028</v>
      </c>
      <c r="C666" s="2">
        <v>2</v>
      </c>
      <c r="E666" s="2">
        <f>28+18</f>
        <v>46</v>
      </c>
      <c r="G666" s="2">
        <f>352+253</f>
        <v>605</v>
      </c>
      <c r="H666" s="17">
        <f t="shared" si="44"/>
        <v>13.152173913043478</v>
      </c>
      <c r="I666" s="2">
        <f>1+2</f>
        <v>3</v>
      </c>
      <c r="K666" s="18">
        <f t="shared" si="45"/>
        <v>302.5</v>
      </c>
    </row>
    <row r="667" spans="1:11" ht="12.75">
      <c r="A667" s="14" t="s">
        <v>1321</v>
      </c>
      <c r="B667" s="15" t="s">
        <v>794</v>
      </c>
      <c r="C667" s="2">
        <v>4</v>
      </c>
      <c r="E667" s="2">
        <f>12+11+12+45</f>
        <v>80</v>
      </c>
      <c r="G667" s="2">
        <f>98+90+87+327</f>
        <v>602</v>
      </c>
      <c r="H667" s="17">
        <f t="shared" si="44"/>
        <v>7.525</v>
      </c>
      <c r="I667" s="2">
        <f>1+0+0+1</f>
        <v>2</v>
      </c>
      <c r="K667" s="18">
        <f t="shared" si="45"/>
        <v>150.5</v>
      </c>
    </row>
    <row r="668" spans="1:11" ht="12.75">
      <c r="A668" s="14" t="s">
        <v>747</v>
      </c>
      <c r="B668" s="15" t="s">
        <v>893</v>
      </c>
      <c r="C668" s="2">
        <v>2</v>
      </c>
      <c r="E668" s="2">
        <f>41+27</f>
        <v>68</v>
      </c>
      <c r="G668" s="2">
        <f>378+223</f>
        <v>601</v>
      </c>
      <c r="H668" s="17">
        <f t="shared" si="44"/>
        <v>8.838235294117647</v>
      </c>
      <c r="I668" s="2">
        <f>2+0</f>
        <v>2</v>
      </c>
      <c r="K668" s="18">
        <f t="shared" si="45"/>
        <v>300.5</v>
      </c>
    </row>
    <row r="669" spans="1:11" ht="12.75">
      <c r="A669" s="14" t="s">
        <v>1166</v>
      </c>
      <c r="B669" s="15" t="s">
        <v>416</v>
      </c>
      <c r="C669" s="2">
        <v>4</v>
      </c>
      <c r="E669" s="2">
        <f>1+1+62+2</f>
        <v>66</v>
      </c>
      <c r="G669" s="2">
        <f>5+7+577+11</f>
        <v>600</v>
      </c>
      <c r="H669" s="17">
        <f t="shared" si="44"/>
        <v>9.090909090909092</v>
      </c>
      <c r="I669" s="2">
        <f>0+0+3+2</f>
        <v>5</v>
      </c>
      <c r="K669" s="18">
        <f t="shared" si="45"/>
        <v>150</v>
      </c>
    </row>
    <row r="670" spans="1:11" ht="12.75">
      <c r="A670" s="14" t="s">
        <v>1876</v>
      </c>
      <c r="B670" s="15" t="s">
        <v>882</v>
      </c>
      <c r="C670" s="2">
        <v>5</v>
      </c>
      <c r="E670" s="2">
        <f>8+6+17+21+21</f>
        <v>73</v>
      </c>
      <c r="G670" s="2">
        <f>59+61+145+150+185</f>
        <v>600</v>
      </c>
      <c r="H670" s="17">
        <f t="shared" si="44"/>
        <v>8.219178082191782</v>
      </c>
      <c r="I670" s="2">
        <f>0+0+0+4+0</f>
        <v>4</v>
      </c>
      <c r="K670" s="18">
        <f t="shared" si="45"/>
        <v>120</v>
      </c>
    </row>
    <row r="671" spans="1:11" ht="12.75">
      <c r="A671" s="14" t="s">
        <v>1280</v>
      </c>
      <c r="B671" s="15" t="s">
        <v>459</v>
      </c>
      <c r="C671" s="2">
        <v>3</v>
      </c>
      <c r="E671" s="2">
        <f>45+10+1</f>
        <v>56</v>
      </c>
      <c r="G671" s="2">
        <f>498+88+8</f>
        <v>594</v>
      </c>
      <c r="H671" s="17">
        <f t="shared" si="44"/>
        <v>10.607142857142858</v>
      </c>
      <c r="I671" s="2">
        <f>12+6+0</f>
        <v>18</v>
      </c>
      <c r="K671" s="18">
        <f t="shared" si="45"/>
        <v>198</v>
      </c>
    </row>
    <row r="672" spans="1:11" ht="12.75">
      <c r="A672" s="14" t="s">
        <v>1102</v>
      </c>
      <c r="B672" s="15" t="s">
        <v>1751</v>
      </c>
      <c r="C672" s="2">
        <v>2</v>
      </c>
      <c r="E672" s="2">
        <f>37+38</f>
        <v>75</v>
      </c>
      <c r="G672" s="2">
        <f>323+268</f>
        <v>591</v>
      </c>
      <c r="H672" s="17">
        <f t="shared" si="44"/>
        <v>7.88</v>
      </c>
      <c r="I672" s="2">
        <f>0+0</f>
        <v>0</v>
      </c>
      <c r="K672" s="18">
        <f t="shared" si="45"/>
        <v>295.5</v>
      </c>
    </row>
    <row r="673" spans="1:11" ht="12.75">
      <c r="A673" s="14" t="s">
        <v>1731</v>
      </c>
      <c r="B673" s="15" t="s">
        <v>618</v>
      </c>
      <c r="C673" s="2">
        <v>4</v>
      </c>
      <c r="E673" s="2">
        <f>10+14+19+16</f>
        <v>59</v>
      </c>
      <c r="G673" s="2">
        <f>110+99+230+145</f>
        <v>584</v>
      </c>
      <c r="H673" s="17">
        <f t="shared" si="44"/>
        <v>9.898305084745763</v>
      </c>
      <c r="I673" s="2">
        <f>0+0+1+0</f>
        <v>1</v>
      </c>
      <c r="K673" s="18">
        <f t="shared" si="45"/>
        <v>146</v>
      </c>
    </row>
    <row r="674" spans="1:11" ht="12.75">
      <c r="A674" s="14" t="s">
        <v>863</v>
      </c>
      <c r="B674" s="15" t="s">
        <v>315</v>
      </c>
      <c r="C674" s="2">
        <v>2</v>
      </c>
      <c r="E674" s="2">
        <f>18+12</f>
        <v>30</v>
      </c>
      <c r="G674" s="2">
        <f>411+172</f>
        <v>583</v>
      </c>
      <c r="H674" s="17">
        <f t="shared" si="44"/>
        <v>19.433333333333334</v>
      </c>
      <c r="I674" s="2">
        <f>3+2</f>
        <v>5</v>
      </c>
      <c r="K674" s="18">
        <f t="shared" si="45"/>
        <v>291.5</v>
      </c>
    </row>
    <row r="675" spans="1:11" ht="12.75">
      <c r="A675" s="14" t="s">
        <v>7</v>
      </c>
      <c r="B675" s="15" t="s">
        <v>873</v>
      </c>
      <c r="C675" s="2">
        <v>4</v>
      </c>
      <c r="E675" s="2">
        <f>27+21+16+8</f>
        <v>72</v>
      </c>
      <c r="G675" s="2">
        <f>202+189+157+33</f>
        <v>581</v>
      </c>
      <c r="H675" s="17">
        <f t="shared" si="44"/>
        <v>8.069444444444445</v>
      </c>
      <c r="I675" s="2">
        <f>0+0+0+0</f>
        <v>0</v>
      </c>
      <c r="K675" s="18">
        <f t="shared" si="45"/>
        <v>145.25</v>
      </c>
    </row>
    <row r="676" spans="1:11" ht="12.75">
      <c r="A676" s="14" t="s">
        <v>1274</v>
      </c>
      <c r="B676" s="15" t="s">
        <v>1070</v>
      </c>
      <c r="C676" s="2">
        <v>1</v>
      </c>
      <c r="E676" s="2">
        <v>49</v>
      </c>
      <c r="G676" s="2">
        <v>577</v>
      </c>
      <c r="H676" s="17">
        <f t="shared" si="44"/>
        <v>11.775510204081632</v>
      </c>
      <c r="I676" s="2">
        <v>6</v>
      </c>
      <c r="K676" s="18">
        <f t="shared" si="45"/>
        <v>577</v>
      </c>
    </row>
    <row r="677" spans="1:11" ht="12.75">
      <c r="A677" s="14" t="s">
        <v>1156</v>
      </c>
      <c r="B677" s="15" t="s">
        <v>900</v>
      </c>
      <c r="C677" s="2">
        <v>5</v>
      </c>
      <c r="E677" s="2">
        <f>21+19+24+3+9</f>
        <v>76</v>
      </c>
      <c r="G677" s="2">
        <f>168+142+217+24+22</f>
        <v>573</v>
      </c>
      <c r="H677" s="17">
        <f aca="true" t="shared" si="46" ref="H677:H740">G677/E677</f>
        <v>7.5394736842105265</v>
      </c>
      <c r="I677" s="2">
        <f>0+2+0+0+0</f>
        <v>2</v>
      </c>
      <c r="K677" s="18">
        <f aca="true" t="shared" si="47" ref="K677:K740">IF(C677=0,0,G677/C677)</f>
        <v>114.6</v>
      </c>
    </row>
    <row r="678" spans="1:11" ht="12.75">
      <c r="A678" s="14" t="s">
        <v>1128</v>
      </c>
      <c r="B678" s="15" t="s">
        <v>1054</v>
      </c>
      <c r="C678" s="2">
        <v>2</v>
      </c>
      <c r="E678" s="2">
        <f>50+6</f>
        <v>56</v>
      </c>
      <c r="G678" s="2">
        <f>495+68</f>
        <v>563</v>
      </c>
      <c r="H678" s="17">
        <f t="shared" si="46"/>
        <v>10.053571428571429</v>
      </c>
      <c r="I678" s="2">
        <f>6+0</f>
        <v>6</v>
      </c>
      <c r="K678" s="18">
        <f t="shared" si="47"/>
        <v>281.5</v>
      </c>
    </row>
    <row r="679" spans="1:11" ht="12.75">
      <c r="A679" s="14" t="s">
        <v>1360</v>
      </c>
      <c r="B679" s="15" t="s">
        <v>853</v>
      </c>
      <c r="C679" s="2">
        <v>4</v>
      </c>
      <c r="E679" s="2">
        <f>41+1+8+5</f>
        <v>55</v>
      </c>
      <c r="G679" s="2">
        <f>430+3+87+35</f>
        <v>555</v>
      </c>
      <c r="H679" s="17">
        <f t="shared" si="46"/>
        <v>10.090909090909092</v>
      </c>
      <c r="I679" s="2">
        <f>3+0+0+3</f>
        <v>6</v>
      </c>
      <c r="K679" s="18">
        <f t="shared" si="47"/>
        <v>138.75</v>
      </c>
    </row>
    <row r="680" spans="1:11" ht="12.75">
      <c r="A680" s="14" t="s">
        <v>1347</v>
      </c>
      <c r="B680" s="15" t="s">
        <v>1790</v>
      </c>
      <c r="C680" s="2">
        <v>2</v>
      </c>
      <c r="E680" s="2">
        <f>1+42</f>
        <v>43</v>
      </c>
      <c r="G680" s="2">
        <f>16+538</f>
        <v>554</v>
      </c>
      <c r="H680" s="17">
        <f t="shared" si="46"/>
        <v>12.883720930232558</v>
      </c>
      <c r="I680" s="2">
        <f>0+0</f>
        <v>0</v>
      </c>
      <c r="K680" s="18">
        <f t="shared" si="47"/>
        <v>277</v>
      </c>
    </row>
    <row r="681" spans="1:11" ht="12.75">
      <c r="A681" s="14" t="s">
        <v>99</v>
      </c>
      <c r="B681" s="15" t="s">
        <v>98</v>
      </c>
      <c r="C681" s="2">
        <v>1</v>
      </c>
      <c r="E681" s="2">
        <f>71</f>
        <v>71</v>
      </c>
      <c r="G681" s="2">
        <f>553</f>
        <v>553</v>
      </c>
      <c r="H681" s="17">
        <f t="shared" si="46"/>
        <v>7.788732394366197</v>
      </c>
      <c r="I681" s="2">
        <f>0</f>
        <v>0</v>
      </c>
      <c r="K681" s="18">
        <f t="shared" si="47"/>
        <v>553</v>
      </c>
    </row>
    <row r="682" spans="1:11" ht="12.75">
      <c r="A682" s="14" t="s">
        <v>266</v>
      </c>
      <c r="B682" s="15" t="s">
        <v>259</v>
      </c>
      <c r="C682" s="2">
        <v>1</v>
      </c>
      <c r="E682" s="2">
        <f>40</f>
        <v>40</v>
      </c>
      <c r="G682" s="2">
        <f>547</f>
        <v>547</v>
      </c>
      <c r="H682" s="17">
        <f t="shared" si="46"/>
        <v>13.675</v>
      </c>
      <c r="I682" s="2">
        <f>3</f>
        <v>3</v>
      </c>
      <c r="K682" s="18">
        <f t="shared" si="47"/>
        <v>547</v>
      </c>
    </row>
    <row r="683" spans="1:11" ht="12.75">
      <c r="A683" s="14" t="s">
        <v>1351</v>
      </c>
      <c r="B683" s="15" t="s">
        <v>732</v>
      </c>
      <c r="C683" s="2">
        <v>4</v>
      </c>
      <c r="E683" s="2">
        <f>44+2+5+3</f>
        <v>54</v>
      </c>
      <c r="G683" s="2">
        <f>472+12+34+24</f>
        <v>542</v>
      </c>
      <c r="H683" s="17">
        <f t="shared" si="46"/>
        <v>10.037037037037036</v>
      </c>
      <c r="I683" s="2">
        <f>5+2+3+1</f>
        <v>11</v>
      </c>
      <c r="K683" s="18">
        <f t="shared" si="47"/>
        <v>135.5</v>
      </c>
    </row>
    <row r="684" spans="1:11" ht="12.75">
      <c r="A684" s="14" t="s">
        <v>1124</v>
      </c>
      <c r="B684" s="15" t="s">
        <v>1993</v>
      </c>
      <c r="C684" s="2">
        <v>4</v>
      </c>
      <c r="E684" s="2">
        <f>27+3+1+66</f>
        <v>97</v>
      </c>
      <c r="G684" s="2">
        <f>268+21+5+235</f>
        <v>529</v>
      </c>
      <c r="H684" s="17">
        <f t="shared" si="46"/>
        <v>5.453608247422681</v>
      </c>
      <c r="I684" s="2">
        <f>1+0+0+8</f>
        <v>9</v>
      </c>
      <c r="K684" s="18">
        <f t="shared" si="47"/>
        <v>132.25</v>
      </c>
    </row>
    <row r="685" spans="1:11" ht="12.75">
      <c r="A685" s="14" t="s">
        <v>1358</v>
      </c>
      <c r="B685" s="15" t="s">
        <v>1579</v>
      </c>
      <c r="C685" s="2">
        <v>5</v>
      </c>
      <c r="E685" s="2">
        <f>1+7+16+12+3</f>
        <v>39</v>
      </c>
      <c r="G685" s="2">
        <f>6+65+208+200+41</f>
        <v>520</v>
      </c>
      <c r="H685" s="17">
        <f t="shared" si="46"/>
        <v>13.333333333333334</v>
      </c>
      <c r="I685" s="2">
        <f>0+0+0+1+0</f>
        <v>1</v>
      </c>
      <c r="K685" s="18">
        <f t="shared" si="47"/>
        <v>104</v>
      </c>
    </row>
    <row r="686" spans="1:11" ht="12.75">
      <c r="A686" s="14" t="s">
        <v>1279</v>
      </c>
      <c r="B686" s="15" t="s">
        <v>1840</v>
      </c>
      <c r="C686" s="2">
        <v>2</v>
      </c>
      <c r="E686" s="2">
        <f>48+1</f>
        <v>49</v>
      </c>
      <c r="G686" s="2">
        <f>499+19</f>
        <v>518</v>
      </c>
      <c r="H686" s="17">
        <f t="shared" si="46"/>
        <v>10.571428571428571</v>
      </c>
      <c r="I686" s="2">
        <f>5+0</f>
        <v>5</v>
      </c>
      <c r="K686" s="18">
        <f t="shared" si="47"/>
        <v>259</v>
      </c>
    </row>
    <row r="687" spans="1:11" ht="12.75">
      <c r="A687" s="14" t="s">
        <v>1285</v>
      </c>
      <c r="B687" s="15" t="s">
        <v>1709</v>
      </c>
      <c r="C687" s="2">
        <v>2</v>
      </c>
      <c r="E687" s="2">
        <f>53+10</f>
        <v>63</v>
      </c>
      <c r="G687" s="2">
        <f>446+72</f>
        <v>518</v>
      </c>
      <c r="H687" s="17">
        <f t="shared" si="46"/>
        <v>8.222222222222221</v>
      </c>
      <c r="I687" s="2">
        <f>2+1</f>
        <v>3</v>
      </c>
      <c r="K687" s="18">
        <f t="shared" si="47"/>
        <v>259</v>
      </c>
    </row>
    <row r="688" spans="1:11" ht="12.75">
      <c r="A688" s="14" t="s">
        <v>1322</v>
      </c>
      <c r="B688" s="15" t="s">
        <v>1784</v>
      </c>
      <c r="C688" s="2">
        <v>2</v>
      </c>
      <c r="E688" s="2">
        <f>10+31</f>
        <v>41</v>
      </c>
      <c r="G688" s="2">
        <f>95+417</f>
        <v>512</v>
      </c>
      <c r="H688" s="17">
        <f t="shared" si="46"/>
        <v>12.487804878048781</v>
      </c>
      <c r="I688" s="2">
        <f>0+1</f>
        <v>1</v>
      </c>
      <c r="K688" s="18">
        <f t="shared" si="47"/>
        <v>256</v>
      </c>
    </row>
    <row r="689" spans="1:11" ht="12.75">
      <c r="A689" s="14" t="s">
        <v>26</v>
      </c>
      <c r="B689" s="15" t="s">
        <v>640</v>
      </c>
      <c r="C689" s="2">
        <v>4</v>
      </c>
      <c r="E689" s="2">
        <f>8+2+7+47</f>
        <v>64</v>
      </c>
      <c r="G689" s="2">
        <f>61+8+47+390</f>
        <v>506</v>
      </c>
      <c r="H689" s="17">
        <f t="shared" si="46"/>
        <v>7.90625</v>
      </c>
      <c r="I689" s="2">
        <f>0+0+0+5</f>
        <v>5</v>
      </c>
      <c r="K689" s="18">
        <f t="shared" si="47"/>
        <v>126.5</v>
      </c>
    </row>
    <row r="690" spans="1:11" ht="12.75">
      <c r="A690" s="14" t="s">
        <v>1356</v>
      </c>
      <c r="B690" s="15" t="s">
        <v>247</v>
      </c>
      <c r="C690" s="2">
        <v>4</v>
      </c>
      <c r="E690" s="2">
        <f>1+56+1+5</f>
        <v>63</v>
      </c>
      <c r="G690" s="2">
        <f>8+451+9+37</f>
        <v>505</v>
      </c>
      <c r="H690" s="17">
        <f t="shared" si="46"/>
        <v>8.015873015873016</v>
      </c>
      <c r="I690" s="2">
        <f>1+4+0+0</f>
        <v>5</v>
      </c>
      <c r="K690" s="18">
        <f t="shared" si="47"/>
        <v>126.25</v>
      </c>
    </row>
    <row r="691" spans="1:11" ht="12.75">
      <c r="A691" s="14" t="s">
        <v>203</v>
      </c>
      <c r="B691" s="15" t="s">
        <v>1552</v>
      </c>
      <c r="C691" s="2">
        <v>1</v>
      </c>
      <c r="E691" s="2">
        <f>53</f>
        <v>53</v>
      </c>
      <c r="G691" s="2">
        <f>500</f>
        <v>500</v>
      </c>
      <c r="H691" s="17">
        <f t="shared" si="46"/>
        <v>9.433962264150944</v>
      </c>
      <c r="I691" s="2">
        <f>2</f>
        <v>2</v>
      </c>
      <c r="K691" s="18">
        <f t="shared" si="47"/>
        <v>500</v>
      </c>
    </row>
    <row r="692" spans="1:11" ht="12.75">
      <c r="A692" s="14" t="s">
        <v>137</v>
      </c>
      <c r="B692" s="15" t="s">
        <v>861</v>
      </c>
      <c r="C692" s="2">
        <v>3</v>
      </c>
      <c r="E692" s="2">
        <f>10+22+1</f>
        <v>33</v>
      </c>
      <c r="G692" s="2">
        <f>152+312+30</f>
        <v>494</v>
      </c>
      <c r="H692" s="17">
        <f t="shared" si="46"/>
        <v>14.969696969696969</v>
      </c>
      <c r="I692" s="2">
        <f>1+0+0</f>
        <v>1</v>
      </c>
      <c r="K692" s="18">
        <f t="shared" si="47"/>
        <v>164.66666666666666</v>
      </c>
    </row>
    <row r="693" spans="1:11" ht="12.75">
      <c r="A693" s="14" t="s">
        <v>681</v>
      </c>
      <c r="B693" s="15" t="s">
        <v>675</v>
      </c>
      <c r="C693" s="2">
        <v>1</v>
      </c>
      <c r="E693" s="2">
        <f>62</f>
        <v>62</v>
      </c>
      <c r="G693" s="2">
        <f>491</f>
        <v>491</v>
      </c>
      <c r="H693" s="17">
        <f t="shared" si="46"/>
        <v>7.919354838709677</v>
      </c>
      <c r="I693" s="2">
        <f>2</f>
        <v>2</v>
      </c>
      <c r="K693" s="18">
        <f t="shared" si="47"/>
        <v>491</v>
      </c>
    </row>
    <row r="694" spans="1:11" ht="12.75">
      <c r="A694" s="14" t="s">
        <v>1167</v>
      </c>
      <c r="B694" s="15" t="s">
        <v>1578</v>
      </c>
      <c r="C694" s="2">
        <v>5</v>
      </c>
      <c r="E694" s="2">
        <f>28+10+8+12+7</f>
        <v>65</v>
      </c>
      <c r="G694" s="2">
        <f>190+98+70+87+45</f>
        <v>490</v>
      </c>
      <c r="H694" s="17">
        <f t="shared" si="46"/>
        <v>7.538461538461538</v>
      </c>
      <c r="I694" s="2">
        <f>0+0+0+0+1</f>
        <v>1</v>
      </c>
      <c r="K694" s="18">
        <f t="shared" si="47"/>
        <v>98</v>
      </c>
    </row>
    <row r="695" spans="1:11" ht="12.75">
      <c r="A695" s="14" t="s">
        <v>1376</v>
      </c>
      <c r="B695" s="15" t="s">
        <v>1724</v>
      </c>
      <c r="C695" s="2">
        <v>2</v>
      </c>
      <c r="E695" s="2">
        <f>5+27</f>
        <v>32</v>
      </c>
      <c r="G695" s="2">
        <f>107+375</f>
        <v>482</v>
      </c>
      <c r="H695" s="17">
        <f t="shared" si="46"/>
        <v>15.0625</v>
      </c>
      <c r="I695" s="2">
        <f>1+0</f>
        <v>1</v>
      </c>
      <c r="K695" s="18">
        <f t="shared" si="47"/>
        <v>241</v>
      </c>
    </row>
    <row r="696" spans="1:11" ht="12.75">
      <c r="A696" s="14" t="s">
        <v>42</v>
      </c>
      <c r="B696" s="15" t="s">
        <v>788</v>
      </c>
      <c r="C696" s="2">
        <v>3</v>
      </c>
      <c r="E696" s="2">
        <f>33+19+5</f>
        <v>57</v>
      </c>
      <c r="G696" s="2">
        <f>261+193+28</f>
        <v>482</v>
      </c>
      <c r="H696" s="17">
        <f t="shared" si="46"/>
        <v>8.456140350877194</v>
      </c>
      <c r="I696" s="2">
        <f>0+2+0</f>
        <v>2</v>
      </c>
      <c r="K696" s="18">
        <f t="shared" si="47"/>
        <v>160.66666666666666</v>
      </c>
    </row>
    <row r="697" spans="1:11" ht="12.75">
      <c r="A697" s="14" t="s">
        <v>768</v>
      </c>
      <c r="B697" s="15" t="s">
        <v>745</v>
      </c>
      <c r="C697" s="2">
        <v>1</v>
      </c>
      <c r="E697" s="2">
        <f>31</f>
        <v>31</v>
      </c>
      <c r="G697" s="2">
        <f>478</f>
        <v>478</v>
      </c>
      <c r="H697" s="17">
        <f t="shared" si="46"/>
        <v>15.419354838709678</v>
      </c>
      <c r="I697" s="2">
        <f>2</f>
        <v>2</v>
      </c>
      <c r="K697" s="18">
        <f t="shared" si="47"/>
        <v>478</v>
      </c>
    </row>
    <row r="698" spans="1:11" ht="12.75">
      <c r="A698" s="14" t="s">
        <v>1885</v>
      </c>
      <c r="B698" s="15" t="s">
        <v>1883</v>
      </c>
      <c r="C698" s="2">
        <v>1</v>
      </c>
      <c r="E698" s="2">
        <v>40</v>
      </c>
      <c r="G698" s="2">
        <v>474</v>
      </c>
      <c r="H698" s="17">
        <f t="shared" si="46"/>
        <v>11.85</v>
      </c>
      <c r="I698" s="2">
        <v>6</v>
      </c>
      <c r="K698" s="18">
        <f t="shared" si="47"/>
        <v>474</v>
      </c>
    </row>
    <row r="699" spans="1:11" ht="12.75">
      <c r="A699" s="14" t="s">
        <v>1149</v>
      </c>
      <c r="B699" s="15" t="s">
        <v>837</v>
      </c>
      <c r="C699" s="2">
        <v>2</v>
      </c>
      <c r="E699" s="2">
        <f>12+46</f>
        <v>58</v>
      </c>
      <c r="G699" s="2">
        <f>66+408</f>
        <v>474</v>
      </c>
      <c r="H699" s="17">
        <f t="shared" si="46"/>
        <v>8.172413793103448</v>
      </c>
      <c r="I699" s="2">
        <f>0+3</f>
        <v>3</v>
      </c>
      <c r="K699" s="18">
        <f t="shared" si="47"/>
        <v>237</v>
      </c>
    </row>
    <row r="700" spans="1:11" ht="12.75">
      <c r="A700" s="14" t="s">
        <v>1316</v>
      </c>
      <c r="B700" s="15" t="s">
        <v>1751</v>
      </c>
      <c r="C700" s="2">
        <v>2</v>
      </c>
      <c r="E700" s="2">
        <f>14+19</f>
        <v>33</v>
      </c>
      <c r="G700" s="2">
        <f>120+353</f>
        <v>473</v>
      </c>
      <c r="H700" s="17">
        <f t="shared" si="46"/>
        <v>14.333333333333334</v>
      </c>
      <c r="I700" s="2">
        <f>0+0</f>
        <v>0</v>
      </c>
      <c r="K700" s="18">
        <f t="shared" si="47"/>
        <v>236.5</v>
      </c>
    </row>
    <row r="701" spans="1:11" ht="12.75">
      <c r="A701" s="14" t="s">
        <v>1785</v>
      </c>
      <c r="B701" s="15" t="s">
        <v>789</v>
      </c>
      <c r="C701" s="2">
        <v>2</v>
      </c>
      <c r="E701" s="2">
        <f>6+53</f>
        <v>59</v>
      </c>
      <c r="G701" s="2">
        <f>28+442</f>
        <v>470</v>
      </c>
      <c r="H701" s="17">
        <f t="shared" si="46"/>
        <v>7.966101694915254</v>
      </c>
      <c r="I701" s="2">
        <f>0+3</f>
        <v>3</v>
      </c>
      <c r="K701" s="18">
        <f t="shared" si="47"/>
        <v>235</v>
      </c>
    </row>
    <row r="702" spans="1:11" ht="12.75">
      <c r="A702" s="14" t="s">
        <v>1172</v>
      </c>
      <c r="B702" s="15" t="s">
        <v>1089</v>
      </c>
      <c r="C702" s="2">
        <v>1</v>
      </c>
      <c r="E702" s="2">
        <v>57</v>
      </c>
      <c r="G702" s="2">
        <v>463</v>
      </c>
      <c r="H702" s="17">
        <f t="shared" si="46"/>
        <v>8.12280701754386</v>
      </c>
      <c r="I702" s="2">
        <v>0</v>
      </c>
      <c r="K702" s="18">
        <f t="shared" si="47"/>
        <v>463</v>
      </c>
    </row>
    <row r="703" spans="1:11" ht="12.75">
      <c r="A703" s="14" t="s">
        <v>27</v>
      </c>
      <c r="B703" s="15" t="s">
        <v>239</v>
      </c>
      <c r="C703" s="2">
        <v>2</v>
      </c>
      <c r="E703" s="2">
        <f>32+7</f>
        <v>39</v>
      </c>
      <c r="G703" s="2">
        <f>403+60</f>
        <v>463</v>
      </c>
      <c r="H703" s="17">
        <f t="shared" si="46"/>
        <v>11.871794871794872</v>
      </c>
      <c r="I703" s="2">
        <f>3+1</f>
        <v>4</v>
      </c>
      <c r="K703" s="18">
        <f t="shared" si="47"/>
        <v>231.5</v>
      </c>
    </row>
    <row r="704" spans="1:11" ht="12.75">
      <c r="A704" s="14" t="s">
        <v>34</v>
      </c>
      <c r="B704" s="15" t="s">
        <v>604</v>
      </c>
      <c r="C704" s="2">
        <v>3</v>
      </c>
      <c r="E704" s="2">
        <f>37+4+5</f>
        <v>46</v>
      </c>
      <c r="G704" s="2">
        <f>378+45+32</f>
        <v>455</v>
      </c>
      <c r="H704" s="17">
        <f t="shared" si="46"/>
        <v>9.891304347826088</v>
      </c>
      <c r="I704" s="2">
        <f>1+1+2</f>
        <v>4</v>
      </c>
      <c r="K704" s="18">
        <f t="shared" si="47"/>
        <v>151.66666666666666</v>
      </c>
    </row>
    <row r="705" spans="1:11" ht="12.75">
      <c r="A705" s="14" t="s">
        <v>931</v>
      </c>
      <c r="B705" s="15" t="s">
        <v>261</v>
      </c>
      <c r="C705" s="2">
        <v>2</v>
      </c>
      <c r="E705" s="2">
        <f>22+25</f>
        <v>47</v>
      </c>
      <c r="G705" s="2">
        <f>160+290</f>
        <v>450</v>
      </c>
      <c r="H705" s="17">
        <f t="shared" si="46"/>
        <v>9.574468085106384</v>
      </c>
      <c r="I705" s="2">
        <f>0+4</f>
        <v>4</v>
      </c>
      <c r="K705" s="18">
        <f t="shared" si="47"/>
        <v>225</v>
      </c>
    </row>
    <row r="706" spans="1:11" ht="12.75">
      <c r="A706" s="14" t="s">
        <v>106</v>
      </c>
      <c r="B706" s="15" t="s">
        <v>98</v>
      </c>
      <c r="C706" s="2">
        <v>1</v>
      </c>
      <c r="E706" s="2">
        <f>45</f>
        <v>45</v>
      </c>
      <c r="G706" s="2">
        <f>445</f>
        <v>445</v>
      </c>
      <c r="H706" s="17">
        <f t="shared" si="46"/>
        <v>9.88888888888889</v>
      </c>
      <c r="I706" s="2">
        <f>6</f>
        <v>6</v>
      </c>
      <c r="K706" s="18">
        <f t="shared" si="47"/>
        <v>445</v>
      </c>
    </row>
    <row r="707" spans="1:11" ht="12.75">
      <c r="A707" s="14" t="s">
        <v>139</v>
      </c>
      <c r="B707" s="15" t="s">
        <v>948</v>
      </c>
      <c r="C707" s="2">
        <v>3</v>
      </c>
      <c r="E707" s="2">
        <f>4+13+23</f>
        <v>40</v>
      </c>
      <c r="G707" s="2">
        <f>19+178+245</f>
        <v>442</v>
      </c>
      <c r="H707" s="17">
        <f t="shared" si="46"/>
        <v>11.05</v>
      </c>
      <c r="I707" s="2">
        <f>4+1+0</f>
        <v>5</v>
      </c>
      <c r="K707" s="18">
        <f t="shared" si="47"/>
        <v>147.33333333333334</v>
      </c>
    </row>
    <row r="708" spans="1:11" ht="12.75">
      <c r="A708" s="14" t="s">
        <v>1576</v>
      </c>
      <c r="B708" s="15" t="s">
        <v>1552</v>
      </c>
      <c r="C708" s="2">
        <v>1</v>
      </c>
      <c r="E708" s="2">
        <f>34</f>
        <v>34</v>
      </c>
      <c r="G708" s="2">
        <f>430</f>
        <v>430</v>
      </c>
      <c r="H708" s="17">
        <f t="shared" si="46"/>
        <v>12.647058823529411</v>
      </c>
      <c r="I708" s="2">
        <f>5</f>
        <v>5</v>
      </c>
      <c r="K708" s="18">
        <f t="shared" si="47"/>
        <v>430</v>
      </c>
    </row>
    <row r="709" spans="1:11" ht="12.75">
      <c r="A709" s="14" t="s">
        <v>1145</v>
      </c>
      <c r="B709" s="15" t="s">
        <v>449</v>
      </c>
      <c r="C709" s="2">
        <v>4</v>
      </c>
      <c r="E709" s="2">
        <f>12+2+24+5</f>
        <v>43</v>
      </c>
      <c r="G709" s="2">
        <f>106+11+249+59</f>
        <v>425</v>
      </c>
      <c r="H709" s="17">
        <f t="shared" si="46"/>
        <v>9.883720930232558</v>
      </c>
      <c r="I709" s="2">
        <f>3+2+3+0</f>
        <v>8</v>
      </c>
      <c r="K709" s="18">
        <f t="shared" si="47"/>
        <v>106.25</v>
      </c>
    </row>
    <row r="710" spans="1:11" ht="12.75">
      <c r="A710" s="14" t="s">
        <v>1764</v>
      </c>
      <c r="B710" s="15" t="s">
        <v>76</v>
      </c>
      <c r="C710" s="2">
        <v>4</v>
      </c>
      <c r="E710" s="2">
        <f>13+6+28+1</f>
        <v>48</v>
      </c>
      <c r="G710" s="2">
        <f>121+49+239+7</f>
        <v>416</v>
      </c>
      <c r="H710" s="17">
        <f t="shared" si="46"/>
        <v>8.666666666666666</v>
      </c>
      <c r="I710" s="2">
        <f>0+0+0+0</f>
        <v>0</v>
      </c>
      <c r="K710" s="18">
        <f t="shared" si="47"/>
        <v>104</v>
      </c>
    </row>
    <row r="711" spans="1:11" ht="12.75">
      <c r="A711" s="14" t="s">
        <v>431</v>
      </c>
      <c r="B711" s="15" t="s">
        <v>823</v>
      </c>
      <c r="C711" s="2">
        <v>2</v>
      </c>
      <c r="E711" s="2">
        <f>37+10</f>
        <v>47</v>
      </c>
      <c r="G711" s="2">
        <f>279+134</f>
        <v>413</v>
      </c>
      <c r="H711" s="17">
        <f t="shared" si="46"/>
        <v>8.787234042553191</v>
      </c>
      <c r="I711" s="2">
        <f>1+0</f>
        <v>1</v>
      </c>
      <c r="K711" s="18">
        <f t="shared" si="47"/>
        <v>206.5</v>
      </c>
    </row>
    <row r="712" spans="1:11" ht="12.75">
      <c r="A712" s="14" t="s">
        <v>1299</v>
      </c>
      <c r="B712" s="15" t="s">
        <v>1801</v>
      </c>
      <c r="C712" s="2">
        <v>2</v>
      </c>
      <c r="E712" s="2">
        <f>21+8</f>
        <v>29</v>
      </c>
      <c r="G712" s="2">
        <f>269+143</f>
        <v>412</v>
      </c>
      <c r="H712" s="17">
        <f t="shared" si="46"/>
        <v>14.206896551724139</v>
      </c>
      <c r="I712" s="2">
        <f>2+0</f>
        <v>2</v>
      </c>
      <c r="K712" s="18">
        <f t="shared" si="47"/>
        <v>206</v>
      </c>
    </row>
    <row r="713" spans="1:11" ht="12.75">
      <c r="A713" s="14" t="s">
        <v>114</v>
      </c>
      <c r="B713" s="15" t="s">
        <v>766</v>
      </c>
      <c r="C713" s="2">
        <v>3</v>
      </c>
      <c r="E713" s="2">
        <f>34+4+1</f>
        <v>39</v>
      </c>
      <c r="G713" s="2">
        <f>367+34+7</f>
        <v>408</v>
      </c>
      <c r="H713" s="17">
        <f t="shared" si="46"/>
        <v>10.461538461538462</v>
      </c>
      <c r="I713" s="2">
        <f>0+0+0</f>
        <v>0</v>
      </c>
      <c r="K713" s="18">
        <f t="shared" si="47"/>
        <v>136</v>
      </c>
    </row>
    <row r="714" spans="1:11" ht="12.75">
      <c r="A714" s="14" t="s">
        <v>143</v>
      </c>
      <c r="B714" s="15" t="s">
        <v>761</v>
      </c>
      <c r="C714" s="2">
        <v>4</v>
      </c>
      <c r="E714" s="2">
        <f>19+8+6+7</f>
        <v>40</v>
      </c>
      <c r="G714" s="2">
        <f>180+106+66+55</f>
        <v>407</v>
      </c>
      <c r="H714" s="17">
        <f t="shared" si="46"/>
        <v>10.175</v>
      </c>
      <c r="I714" s="2">
        <f>0+1+0+0</f>
        <v>1</v>
      </c>
      <c r="K714" s="18">
        <f t="shared" si="47"/>
        <v>101.75</v>
      </c>
    </row>
    <row r="715" spans="1:11" ht="12.75">
      <c r="A715" s="14" t="s">
        <v>534</v>
      </c>
      <c r="B715" s="15" t="s">
        <v>639</v>
      </c>
      <c r="C715" s="2">
        <v>2</v>
      </c>
      <c r="E715" s="2">
        <f>13+12</f>
        <v>25</v>
      </c>
      <c r="G715" s="2">
        <f>202+203</f>
        <v>405</v>
      </c>
      <c r="H715" s="17">
        <f t="shared" si="46"/>
        <v>16.2</v>
      </c>
      <c r="I715" s="2">
        <f>1+1</f>
        <v>2</v>
      </c>
      <c r="K715" s="18">
        <f t="shared" si="47"/>
        <v>202.5</v>
      </c>
    </row>
    <row r="716" spans="1:11" ht="12.75">
      <c r="A716" s="14" t="s">
        <v>1300</v>
      </c>
      <c r="B716" s="15" t="s">
        <v>1964</v>
      </c>
      <c r="C716" s="2">
        <v>3</v>
      </c>
      <c r="E716" s="2">
        <f>18+9+1</f>
        <v>28</v>
      </c>
      <c r="G716" s="2">
        <f>265+131+8</f>
        <v>404</v>
      </c>
      <c r="H716" s="17">
        <f t="shared" si="46"/>
        <v>14.428571428571429</v>
      </c>
      <c r="I716" s="2">
        <f>0+2+0</f>
        <v>2</v>
      </c>
      <c r="K716" s="18">
        <f t="shared" si="47"/>
        <v>134.66666666666666</v>
      </c>
    </row>
    <row r="717" spans="1:11" ht="12.75">
      <c r="A717" s="14" t="s">
        <v>1104</v>
      </c>
      <c r="B717" s="15" t="s">
        <v>493</v>
      </c>
      <c r="C717" s="2">
        <v>4</v>
      </c>
      <c r="E717" s="2">
        <f>42+5+3+4</f>
        <v>54</v>
      </c>
      <c r="G717" s="2">
        <f>320+52+10+21</f>
        <v>403</v>
      </c>
      <c r="H717" s="17">
        <f t="shared" si="46"/>
        <v>7.462962962962963</v>
      </c>
      <c r="I717" s="2">
        <f>0+0+0+0</f>
        <v>0</v>
      </c>
      <c r="K717" s="18">
        <f t="shared" si="47"/>
        <v>100.75</v>
      </c>
    </row>
    <row r="718" spans="1:11" ht="12.75">
      <c r="A718" s="14" t="s">
        <v>1288</v>
      </c>
      <c r="B718" s="15" t="s">
        <v>1082</v>
      </c>
      <c r="C718" s="2">
        <v>1</v>
      </c>
      <c r="E718" s="2">
        <v>44</v>
      </c>
      <c r="G718" s="2">
        <v>402</v>
      </c>
      <c r="H718" s="17">
        <f t="shared" si="46"/>
        <v>9.136363636363637</v>
      </c>
      <c r="I718" s="2">
        <v>5</v>
      </c>
      <c r="K718" s="18">
        <f t="shared" si="47"/>
        <v>402</v>
      </c>
    </row>
    <row r="719" spans="1:11" ht="12.75">
      <c r="A719" s="14" t="s">
        <v>1882</v>
      </c>
      <c r="B719" s="15" t="s">
        <v>1883</v>
      </c>
      <c r="C719" s="2">
        <v>1</v>
      </c>
      <c r="E719" s="2">
        <v>35</v>
      </c>
      <c r="G719" s="2">
        <v>399</v>
      </c>
      <c r="H719" s="17">
        <f t="shared" si="46"/>
        <v>11.4</v>
      </c>
      <c r="I719" s="2">
        <v>1</v>
      </c>
      <c r="K719" s="18">
        <f t="shared" si="47"/>
        <v>399</v>
      </c>
    </row>
    <row r="720" spans="1:11" ht="12.75">
      <c r="A720" s="14" t="s">
        <v>21</v>
      </c>
      <c r="B720" s="15" t="s">
        <v>502</v>
      </c>
      <c r="C720" s="2">
        <v>1</v>
      </c>
      <c r="E720" s="2">
        <v>39</v>
      </c>
      <c r="G720" s="2">
        <v>399</v>
      </c>
      <c r="H720" s="17">
        <f t="shared" si="46"/>
        <v>10.23076923076923</v>
      </c>
      <c r="I720" s="2">
        <v>3</v>
      </c>
      <c r="K720" s="18">
        <f t="shared" si="47"/>
        <v>399</v>
      </c>
    </row>
    <row r="721" spans="1:11" ht="12.75">
      <c r="A721" s="14" t="s">
        <v>726</v>
      </c>
      <c r="B721" s="15" t="s">
        <v>55</v>
      </c>
      <c r="C721" s="2">
        <v>2</v>
      </c>
      <c r="E721" s="2">
        <f>14+25</f>
        <v>39</v>
      </c>
      <c r="G721" s="2">
        <f>119+276</f>
        <v>395</v>
      </c>
      <c r="H721" s="17">
        <f t="shared" si="46"/>
        <v>10.128205128205128</v>
      </c>
      <c r="I721" s="2">
        <f>1+3</f>
        <v>4</v>
      </c>
      <c r="K721" s="18">
        <f t="shared" si="47"/>
        <v>197.5</v>
      </c>
    </row>
    <row r="722" spans="1:11" ht="12.75">
      <c r="A722" s="14" t="s">
        <v>1787</v>
      </c>
      <c r="B722" s="15" t="s">
        <v>767</v>
      </c>
      <c r="C722" s="2">
        <v>4</v>
      </c>
      <c r="E722" s="2">
        <f>4+5+2+31</f>
        <v>42</v>
      </c>
      <c r="G722" s="2">
        <f>34+28+25+294</f>
        <v>381</v>
      </c>
      <c r="H722" s="17">
        <f t="shared" si="46"/>
        <v>9.071428571428571</v>
      </c>
      <c r="I722" s="2">
        <f>2+0+0+3</f>
        <v>5</v>
      </c>
      <c r="K722" s="18">
        <f t="shared" si="47"/>
        <v>95.25</v>
      </c>
    </row>
    <row r="723" spans="1:11" ht="12.75">
      <c r="A723" s="14" t="s">
        <v>310</v>
      </c>
      <c r="B723" s="15" t="s">
        <v>308</v>
      </c>
      <c r="C723" s="2">
        <v>1</v>
      </c>
      <c r="E723" s="2">
        <f>54</f>
        <v>54</v>
      </c>
      <c r="G723" s="2">
        <f>380</f>
        <v>380</v>
      </c>
      <c r="H723" s="17">
        <f t="shared" si="46"/>
        <v>7.037037037037037</v>
      </c>
      <c r="I723" s="2">
        <f>2</f>
        <v>2</v>
      </c>
      <c r="K723" s="18">
        <f t="shared" si="47"/>
        <v>380</v>
      </c>
    </row>
    <row r="724" spans="1:11" ht="12.75">
      <c r="A724" s="14" t="s">
        <v>1367</v>
      </c>
      <c r="B724" s="15" t="s">
        <v>1368</v>
      </c>
      <c r="C724" s="2">
        <v>1</v>
      </c>
      <c r="E724" s="2">
        <v>40</v>
      </c>
      <c r="G724" s="2">
        <v>372</v>
      </c>
      <c r="H724" s="17">
        <f t="shared" si="46"/>
        <v>9.3</v>
      </c>
      <c r="I724" s="2">
        <v>3</v>
      </c>
      <c r="K724" s="18">
        <f t="shared" si="47"/>
        <v>372</v>
      </c>
    </row>
    <row r="725" spans="1:11" ht="12.75">
      <c r="A725" s="14" t="s">
        <v>1108</v>
      </c>
      <c r="B725" s="15" t="s">
        <v>554</v>
      </c>
      <c r="C725" s="2">
        <v>4</v>
      </c>
      <c r="E725" s="2">
        <f>41+2+3+7</f>
        <v>53</v>
      </c>
      <c r="G725" s="2">
        <f>288+13+28+43</f>
        <v>372</v>
      </c>
      <c r="H725" s="17">
        <f t="shared" si="46"/>
        <v>7.018867924528302</v>
      </c>
      <c r="I725" s="2">
        <f>0+1+0+0</f>
        <v>1</v>
      </c>
      <c r="K725" s="18">
        <f t="shared" si="47"/>
        <v>93</v>
      </c>
    </row>
    <row r="726" spans="1:11" ht="12.75">
      <c r="A726" s="14" t="s">
        <v>1147</v>
      </c>
      <c r="B726" s="15" t="s">
        <v>439</v>
      </c>
      <c r="C726" s="2">
        <v>4</v>
      </c>
      <c r="E726" s="2">
        <f>3+3+6+28</f>
        <v>40</v>
      </c>
      <c r="G726" s="2">
        <f>21+38+51+261</f>
        <v>371</v>
      </c>
      <c r="H726" s="17">
        <f t="shared" si="46"/>
        <v>9.275</v>
      </c>
      <c r="I726" s="2">
        <f>0+0+0+4</f>
        <v>4</v>
      </c>
      <c r="K726" s="18">
        <f t="shared" si="47"/>
        <v>92.75</v>
      </c>
    </row>
    <row r="727" spans="1:11" ht="12.75">
      <c r="A727" s="14" t="s">
        <v>1320</v>
      </c>
      <c r="B727" s="15" t="s">
        <v>1722</v>
      </c>
      <c r="C727" s="2">
        <v>2</v>
      </c>
      <c r="E727" s="2">
        <f>12+25</f>
        <v>37</v>
      </c>
      <c r="G727" s="2">
        <f>108+260</f>
        <v>368</v>
      </c>
      <c r="H727" s="17">
        <f t="shared" si="46"/>
        <v>9.945945945945946</v>
      </c>
      <c r="I727" s="2">
        <f>4+7</f>
        <v>11</v>
      </c>
      <c r="K727" s="18">
        <f t="shared" si="47"/>
        <v>184</v>
      </c>
    </row>
    <row r="728" spans="1:11" ht="12.75">
      <c r="A728" s="14" t="s">
        <v>1292</v>
      </c>
      <c r="B728" s="15" t="s">
        <v>1840</v>
      </c>
      <c r="C728" s="2">
        <v>2</v>
      </c>
      <c r="E728" s="2">
        <f>23+1</f>
        <v>24</v>
      </c>
      <c r="G728" s="2">
        <f>339+12</f>
        <v>351</v>
      </c>
      <c r="H728" s="17">
        <f t="shared" si="46"/>
        <v>14.625</v>
      </c>
      <c r="I728" s="2">
        <f>1+0</f>
        <v>1</v>
      </c>
      <c r="K728" s="18">
        <f t="shared" si="47"/>
        <v>175.5</v>
      </c>
    </row>
    <row r="729" spans="1:11" ht="12.75">
      <c r="A729" s="14" t="s">
        <v>565</v>
      </c>
      <c r="B729" s="15" t="s">
        <v>566</v>
      </c>
      <c r="C729" s="2">
        <v>1</v>
      </c>
      <c r="E729" s="2">
        <f>36</f>
        <v>36</v>
      </c>
      <c r="G729" s="2">
        <f>350</f>
        <v>350</v>
      </c>
      <c r="H729" s="17">
        <f t="shared" si="46"/>
        <v>9.722222222222221</v>
      </c>
      <c r="I729" s="2">
        <f>6</f>
        <v>6</v>
      </c>
      <c r="K729" s="18">
        <f t="shared" si="47"/>
        <v>350</v>
      </c>
    </row>
    <row r="730" spans="1:11" ht="12.75">
      <c r="A730" s="14" t="s">
        <v>1301</v>
      </c>
      <c r="B730" s="15" t="s">
        <v>1801</v>
      </c>
      <c r="C730" s="2">
        <v>2</v>
      </c>
      <c r="E730" s="2">
        <f>17+8</f>
        <v>25</v>
      </c>
      <c r="G730" s="2">
        <f>262+88</f>
        <v>350</v>
      </c>
      <c r="H730" s="17">
        <f t="shared" si="46"/>
        <v>14</v>
      </c>
      <c r="I730" s="2">
        <f>0+0</f>
        <v>0</v>
      </c>
      <c r="K730" s="18">
        <f t="shared" si="47"/>
        <v>175</v>
      </c>
    </row>
    <row r="731" spans="1:11" ht="12.75">
      <c r="A731" s="14" t="s">
        <v>1174</v>
      </c>
      <c r="B731" s="15" t="s">
        <v>1039</v>
      </c>
      <c r="C731" s="2">
        <v>2</v>
      </c>
      <c r="E731" s="2">
        <f>18+21</f>
        <v>39</v>
      </c>
      <c r="G731" s="2">
        <f>161+189</f>
        <v>350</v>
      </c>
      <c r="H731" s="17">
        <f t="shared" si="46"/>
        <v>8.974358974358974</v>
      </c>
      <c r="I731" s="2">
        <f>1+0</f>
        <v>1</v>
      </c>
      <c r="K731" s="18">
        <f t="shared" si="47"/>
        <v>175</v>
      </c>
    </row>
    <row r="732" spans="1:11" ht="12.75">
      <c r="A732" s="14" t="s">
        <v>1737</v>
      </c>
      <c r="B732" s="15" t="s">
        <v>1732</v>
      </c>
      <c r="C732" s="2">
        <v>1</v>
      </c>
      <c r="E732" s="2">
        <v>28</v>
      </c>
      <c r="G732" s="2">
        <v>347</v>
      </c>
      <c r="H732" s="17">
        <f t="shared" si="46"/>
        <v>12.392857142857142</v>
      </c>
      <c r="I732" s="2">
        <v>1</v>
      </c>
      <c r="K732" s="18">
        <f t="shared" si="47"/>
        <v>347</v>
      </c>
    </row>
    <row r="733" spans="1:11" ht="12.75">
      <c r="A733" s="14" t="s">
        <v>1774</v>
      </c>
      <c r="B733" s="15" t="s">
        <v>671</v>
      </c>
      <c r="C733" s="2">
        <v>4</v>
      </c>
      <c r="E733" s="2">
        <f>30+1+2+1</f>
        <v>34</v>
      </c>
      <c r="G733" s="2">
        <f>310+12+17+6</f>
        <v>345</v>
      </c>
      <c r="H733" s="17">
        <f t="shared" si="46"/>
        <v>10.147058823529411</v>
      </c>
      <c r="I733" s="2">
        <f>0+0+0+0</f>
        <v>0</v>
      </c>
      <c r="K733" s="18">
        <f t="shared" si="47"/>
        <v>86.25</v>
      </c>
    </row>
    <row r="734" spans="1:11" ht="12.75">
      <c r="A734" s="14" t="s">
        <v>1176</v>
      </c>
      <c r="B734" s="15" t="s">
        <v>28</v>
      </c>
      <c r="C734" s="2">
        <v>2</v>
      </c>
      <c r="E734" s="2">
        <f>22+10</f>
        <v>32</v>
      </c>
      <c r="G734" s="2">
        <f>228+116</f>
        <v>344</v>
      </c>
      <c r="H734" s="17">
        <f t="shared" si="46"/>
        <v>10.75</v>
      </c>
      <c r="I734" s="2">
        <f>0+1</f>
        <v>1</v>
      </c>
      <c r="K734" s="18">
        <f t="shared" si="47"/>
        <v>172</v>
      </c>
    </row>
    <row r="735" spans="1:11" ht="12.75">
      <c r="A735" s="14" t="s">
        <v>1177</v>
      </c>
      <c r="B735" s="15" t="s">
        <v>1932</v>
      </c>
      <c r="C735" s="2">
        <v>2</v>
      </c>
      <c r="E735" s="2">
        <f>40+1</f>
        <v>41</v>
      </c>
      <c r="G735" s="2">
        <f>332+9</f>
        <v>341</v>
      </c>
      <c r="H735" s="17">
        <f t="shared" si="46"/>
        <v>8.317073170731707</v>
      </c>
      <c r="I735" s="2">
        <f>3+0</f>
        <v>3</v>
      </c>
      <c r="K735" s="18">
        <f t="shared" si="47"/>
        <v>170.5</v>
      </c>
    </row>
    <row r="736" spans="1:11" ht="12.75">
      <c r="A736" s="14" t="s">
        <v>1370</v>
      </c>
      <c r="B736" s="15" t="s">
        <v>1188</v>
      </c>
      <c r="C736" s="2">
        <v>1</v>
      </c>
      <c r="E736" s="2">
        <v>31</v>
      </c>
      <c r="G736" s="2">
        <v>333</v>
      </c>
      <c r="H736" s="17">
        <f t="shared" si="46"/>
        <v>10.741935483870968</v>
      </c>
      <c r="I736" s="2">
        <v>4</v>
      </c>
      <c r="K736" s="18">
        <f t="shared" si="47"/>
        <v>333</v>
      </c>
    </row>
    <row r="737" spans="1:11" ht="12.75">
      <c r="A737" s="14" t="s">
        <v>1293</v>
      </c>
      <c r="B737" s="15" t="s">
        <v>1049</v>
      </c>
      <c r="C737" s="2">
        <v>1</v>
      </c>
      <c r="E737" s="2">
        <v>16</v>
      </c>
      <c r="G737" s="2">
        <v>332</v>
      </c>
      <c r="H737" s="17">
        <f t="shared" si="46"/>
        <v>20.75</v>
      </c>
      <c r="I737" s="2">
        <v>3</v>
      </c>
      <c r="K737" s="18">
        <f t="shared" si="47"/>
        <v>332</v>
      </c>
    </row>
    <row r="738" spans="1:11" ht="12.75">
      <c r="A738" s="14" t="s">
        <v>1713</v>
      </c>
      <c r="B738" s="15" t="s">
        <v>581</v>
      </c>
      <c r="C738" s="2">
        <v>3</v>
      </c>
      <c r="E738" s="2">
        <f>8+1+25</f>
        <v>34</v>
      </c>
      <c r="G738" s="2">
        <f>96+10+223</f>
        <v>329</v>
      </c>
      <c r="H738" s="17">
        <f t="shared" si="46"/>
        <v>9.676470588235293</v>
      </c>
      <c r="I738" s="2">
        <f>0+0+4</f>
        <v>4</v>
      </c>
      <c r="K738" s="18">
        <f t="shared" si="47"/>
        <v>109.66666666666667</v>
      </c>
    </row>
    <row r="739" spans="1:11" ht="12.75">
      <c r="A739" s="14" t="s">
        <v>1312</v>
      </c>
      <c r="B739" s="15" t="s">
        <v>1852</v>
      </c>
      <c r="C739" s="2">
        <v>2</v>
      </c>
      <c r="E739" s="2">
        <f>11+10</f>
        <v>21</v>
      </c>
      <c r="G739" s="2">
        <f>148+175</f>
        <v>323</v>
      </c>
      <c r="H739" s="17">
        <f t="shared" si="46"/>
        <v>15.380952380952381</v>
      </c>
      <c r="I739" s="2">
        <f>0+3</f>
        <v>3</v>
      </c>
      <c r="K739" s="18">
        <f t="shared" si="47"/>
        <v>161.5</v>
      </c>
    </row>
    <row r="740" spans="1:11" ht="12.75">
      <c r="A740" s="14" t="s">
        <v>1297</v>
      </c>
      <c r="B740" s="15" t="s">
        <v>1041</v>
      </c>
      <c r="C740" s="2">
        <v>2</v>
      </c>
      <c r="E740" s="2">
        <f>3+29</f>
        <v>32</v>
      </c>
      <c r="G740" s="2">
        <f>25+298</f>
        <v>323</v>
      </c>
      <c r="H740" s="17">
        <f t="shared" si="46"/>
        <v>10.09375</v>
      </c>
      <c r="I740" s="2">
        <f>0+1</f>
        <v>1</v>
      </c>
      <c r="K740" s="18">
        <f t="shared" si="47"/>
        <v>161.5</v>
      </c>
    </row>
    <row r="741" spans="1:11" ht="12.75">
      <c r="A741" s="14" t="s">
        <v>1315</v>
      </c>
      <c r="B741" s="15" t="s">
        <v>1830</v>
      </c>
      <c r="C741" s="2">
        <v>2</v>
      </c>
      <c r="E741" s="2">
        <f>12+10</f>
        <v>22</v>
      </c>
      <c r="G741" s="2">
        <f>121+197</f>
        <v>318</v>
      </c>
      <c r="H741" s="17">
        <f aca="true" t="shared" si="48" ref="H741:H804">G741/E741</f>
        <v>14.454545454545455</v>
      </c>
      <c r="I741" s="2">
        <f>0+0</f>
        <v>0</v>
      </c>
      <c r="K741" s="18">
        <f aca="true" t="shared" si="49" ref="K741:K804">IF(C741=0,0,G741/C741)</f>
        <v>159</v>
      </c>
    </row>
    <row r="742" spans="1:11" ht="12.75">
      <c r="A742" s="14" t="s">
        <v>1097</v>
      </c>
      <c r="B742" s="15" t="s">
        <v>5</v>
      </c>
      <c r="C742" s="2">
        <v>2</v>
      </c>
      <c r="E742" s="2">
        <f>24+13</f>
        <v>37</v>
      </c>
      <c r="G742" s="2">
        <f>209+106</f>
        <v>315</v>
      </c>
      <c r="H742" s="17">
        <f t="shared" si="48"/>
        <v>8.513513513513514</v>
      </c>
      <c r="I742" s="2">
        <f>1+0</f>
        <v>1</v>
      </c>
      <c r="K742" s="18">
        <f t="shared" si="49"/>
        <v>157.5</v>
      </c>
    </row>
    <row r="743" spans="1:11" ht="12.75">
      <c r="A743" s="14" t="s">
        <v>1179</v>
      </c>
      <c r="B743" s="15" t="s">
        <v>967</v>
      </c>
      <c r="C743" s="2">
        <v>4</v>
      </c>
      <c r="E743" s="2">
        <f>8+11+1+10</f>
        <v>30</v>
      </c>
      <c r="G743" s="2">
        <f>72+135+9+92</f>
        <v>308</v>
      </c>
      <c r="H743" s="17">
        <f t="shared" si="48"/>
        <v>10.266666666666667</v>
      </c>
      <c r="I743" s="2">
        <f>0+0+0+0</f>
        <v>0</v>
      </c>
      <c r="K743" s="18">
        <f t="shared" si="49"/>
        <v>77</v>
      </c>
    </row>
    <row r="744" spans="1:11" ht="12.75">
      <c r="A744" s="14" t="s">
        <v>514</v>
      </c>
      <c r="B744" s="15" t="s">
        <v>75</v>
      </c>
      <c r="C744" s="2">
        <v>2</v>
      </c>
      <c r="E744" s="2">
        <f>18+21</f>
        <v>39</v>
      </c>
      <c r="G744" s="2">
        <f>141+162</f>
        <v>303</v>
      </c>
      <c r="H744" s="17">
        <f t="shared" si="48"/>
        <v>7.769230769230769</v>
      </c>
      <c r="I744" s="2">
        <f>0+0</f>
        <v>0</v>
      </c>
      <c r="K744" s="18">
        <f t="shared" si="49"/>
        <v>151.5</v>
      </c>
    </row>
    <row r="745" spans="1:11" ht="12.75">
      <c r="A745" s="14" t="s">
        <v>1380</v>
      </c>
      <c r="B745" s="15" t="s">
        <v>375</v>
      </c>
      <c r="C745" s="2">
        <v>4</v>
      </c>
      <c r="E745" s="2">
        <f>1+4+2+14</f>
        <v>21</v>
      </c>
      <c r="G745" s="2">
        <f>13+102+56+132</f>
        <v>303</v>
      </c>
      <c r="H745" s="17">
        <f t="shared" si="48"/>
        <v>14.428571428571429</v>
      </c>
      <c r="I745" s="2">
        <f>0+0+1+2</f>
        <v>3</v>
      </c>
      <c r="K745" s="18">
        <f t="shared" si="49"/>
        <v>75.75</v>
      </c>
    </row>
    <row r="746" spans="1:11" ht="12.75">
      <c r="A746" s="14" t="s">
        <v>1305</v>
      </c>
      <c r="B746" s="15" t="s">
        <v>1812</v>
      </c>
      <c r="C746" s="2">
        <v>2</v>
      </c>
      <c r="E746" s="2">
        <f>12+7</f>
        <v>19</v>
      </c>
      <c r="G746" s="2">
        <f>230+67</f>
        <v>297</v>
      </c>
      <c r="H746" s="17">
        <f t="shared" si="48"/>
        <v>15.631578947368421</v>
      </c>
      <c r="I746" s="2">
        <f>1+1</f>
        <v>2</v>
      </c>
      <c r="K746" s="18">
        <f t="shared" si="49"/>
        <v>148.5</v>
      </c>
    </row>
    <row r="747" spans="1:11" ht="12.75">
      <c r="A747" s="14" t="s">
        <v>1120</v>
      </c>
      <c r="B747" s="15" t="s">
        <v>515</v>
      </c>
      <c r="C747" s="2">
        <v>3</v>
      </c>
      <c r="E747" s="2">
        <f>15+5+16</f>
        <v>36</v>
      </c>
      <c r="G747" s="2">
        <f>123+45+126</f>
        <v>294</v>
      </c>
      <c r="H747" s="17">
        <f t="shared" si="48"/>
        <v>8.166666666666666</v>
      </c>
      <c r="I747" s="2">
        <f>0+0+1</f>
        <v>1</v>
      </c>
      <c r="K747" s="18">
        <f t="shared" si="49"/>
        <v>98</v>
      </c>
    </row>
    <row r="748" spans="1:11" ht="12.75">
      <c r="A748" s="14" t="s">
        <v>1101</v>
      </c>
      <c r="B748" s="15" t="s">
        <v>401</v>
      </c>
      <c r="C748" s="2">
        <v>4</v>
      </c>
      <c r="E748" s="2">
        <f>7+3+19+3</f>
        <v>32</v>
      </c>
      <c r="G748" s="2">
        <f>87+31+159+14</f>
        <v>291</v>
      </c>
      <c r="H748" s="17">
        <f t="shared" si="48"/>
        <v>9.09375</v>
      </c>
      <c r="I748" s="2">
        <f>0+0+0+0</f>
        <v>0</v>
      </c>
      <c r="K748" s="18">
        <f t="shared" si="49"/>
        <v>72.75</v>
      </c>
    </row>
    <row r="749" spans="1:11" ht="12.75">
      <c r="A749" s="14" t="s">
        <v>423</v>
      </c>
      <c r="B749" s="15" t="s">
        <v>279</v>
      </c>
      <c r="C749" s="2">
        <v>3</v>
      </c>
      <c r="E749" s="2">
        <f>1+32+5</f>
        <v>38</v>
      </c>
      <c r="G749" s="2">
        <f>1+261+27</f>
        <v>289</v>
      </c>
      <c r="H749" s="17">
        <f t="shared" si="48"/>
        <v>7.605263157894737</v>
      </c>
      <c r="I749" s="2">
        <f>0+1+0</f>
        <v>1</v>
      </c>
      <c r="K749" s="18">
        <f t="shared" si="49"/>
        <v>96.33333333333333</v>
      </c>
    </row>
    <row r="750" spans="1:11" ht="12.75">
      <c r="A750" s="14" t="s">
        <v>1382</v>
      </c>
      <c r="B750" s="15" t="s">
        <v>355</v>
      </c>
      <c r="C750" s="2">
        <v>4</v>
      </c>
      <c r="E750" s="2">
        <f>1+1+1+22</f>
        <v>25</v>
      </c>
      <c r="G750" s="2">
        <f>6+17+8+256</f>
        <v>287</v>
      </c>
      <c r="H750" s="17">
        <f t="shared" si="48"/>
        <v>11.48</v>
      </c>
      <c r="I750" s="2">
        <f>0+0+0+1</f>
        <v>1</v>
      </c>
      <c r="K750" s="18">
        <f t="shared" si="49"/>
        <v>71.75</v>
      </c>
    </row>
    <row r="751" spans="1:11" ht="12.75">
      <c r="A751" s="14" t="s">
        <v>1111</v>
      </c>
      <c r="B751" s="15" t="s">
        <v>777</v>
      </c>
      <c r="C751" s="2">
        <v>4</v>
      </c>
      <c r="E751" s="2">
        <f>30+9+10+4</f>
        <v>53</v>
      </c>
      <c r="G751" s="2">
        <f>234+7+13+32</f>
        <v>286</v>
      </c>
      <c r="H751" s="17">
        <f t="shared" si="48"/>
        <v>5.39622641509434</v>
      </c>
      <c r="I751" s="2">
        <f>0+0+3+0</f>
        <v>3</v>
      </c>
      <c r="K751" s="18">
        <f t="shared" si="49"/>
        <v>71.5</v>
      </c>
    </row>
    <row r="752" spans="1:11" ht="12.75">
      <c r="A752" s="14" t="s">
        <v>1154</v>
      </c>
      <c r="B752" s="15" t="s">
        <v>1913</v>
      </c>
      <c r="C752" s="2">
        <v>2</v>
      </c>
      <c r="E752" s="2">
        <f>20+21</f>
        <v>41</v>
      </c>
      <c r="G752" s="2">
        <f>138+145</f>
        <v>283</v>
      </c>
      <c r="H752" s="17">
        <f t="shared" si="48"/>
        <v>6.902439024390244</v>
      </c>
      <c r="I752" s="2">
        <f>0+0</f>
        <v>0</v>
      </c>
      <c r="K752" s="18">
        <f t="shared" si="49"/>
        <v>141.5</v>
      </c>
    </row>
    <row r="753" spans="1:11" ht="12.75">
      <c r="A753" s="14" t="s">
        <v>2016</v>
      </c>
      <c r="B753" s="15" t="s">
        <v>1251</v>
      </c>
      <c r="C753" s="2">
        <v>3</v>
      </c>
      <c r="E753" s="2">
        <f>25+3+6</f>
        <v>34</v>
      </c>
      <c r="G753" s="2">
        <f>168+50+63</f>
        <v>281</v>
      </c>
      <c r="H753" s="17">
        <f t="shared" si="48"/>
        <v>8.264705882352942</v>
      </c>
      <c r="I753" s="2">
        <f>0+0+0</f>
        <v>0</v>
      </c>
      <c r="K753" s="18">
        <f t="shared" si="49"/>
        <v>93.66666666666667</v>
      </c>
    </row>
    <row r="754" spans="1:11" ht="12.75">
      <c r="A754" s="14" t="s">
        <v>1357</v>
      </c>
      <c r="B754" s="15" t="s">
        <v>830</v>
      </c>
      <c r="C754" s="2">
        <v>4</v>
      </c>
      <c r="E754" s="2">
        <f>1+3+35+1</f>
        <v>40</v>
      </c>
      <c r="G754" s="2">
        <f>7+6+260+5</f>
        <v>278</v>
      </c>
      <c r="H754" s="17">
        <f t="shared" si="48"/>
        <v>6.95</v>
      </c>
      <c r="I754" s="2">
        <f>0+1+3+0</f>
        <v>4</v>
      </c>
      <c r="K754" s="18">
        <f t="shared" si="49"/>
        <v>69.5</v>
      </c>
    </row>
    <row r="755" spans="1:11" ht="12.75">
      <c r="A755" s="14" t="s">
        <v>1175</v>
      </c>
      <c r="B755" s="15" t="s">
        <v>508</v>
      </c>
      <c r="C755" s="2">
        <v>4</v>
      </c>
      <c r="E755" s="2">
        <f>22+1+17+3</f>
        <v>43</v>
      </c>
      <c r="G755" s="2">
        <f>125+1+112+33</f>
        <v>271</v>
      </c>
      <c r="H755" s="17">
        <f t="shared" si="48"/>
        <v>6.3023255813953485</v>
      </c>
      <c r="I755" s="2">
        <f>0+0+1</f>
        <v>1</v>
      </c>
      <c r="K755" s="18">
        <f t="shared" si="49"/>
        <v>67.75</v>
      </c>
    </row>
    <row r="756" spans="1:11" ht="12.75">
      <c r="A756" s="14" t="s">
        <v>1571</v>
      </c>
      <c r="B756" s="15" t="s">
        <v>1572</v>
      </c>
      <c r="C756" s="2">
        <v>1</v>
      </c>
      <c r="E756" s="2">
        <f>24</f>
        <v>24</v>
      </c>
      <c r="G756" s="2">
        <f>267</f>
        <v>267</v>
      </c>
      <c r="H756" s="17">
        <f t="shared" si="48"/>
        <v>11.125</v>
      </c>
      <c r="I756" s="2">
        <f>2</f>
        <v>2</v>
      </c>
      <c r="K756" s="18">
        <f t="shared" si="49"/>
        <v>267</v>
      </c>
    </row>
    <row r="757" spans="1:11" ht="12.75">
      <c r="A757" s="14" t="s">
        <v>533</v>
      </c>
      <c r="B757" s="15" t="s">
        <v>639</v>
      </c>
      <c r="C757" s="2">
        <v>2</v>
      </c>
      <c r="E757" s="2">
        <f>20+5</f>
        <v>25</v>
      </c>
      <c r="G757" s="2">
        <f>205+53</f>
        <v>258</v>
      </c>
      <c r="H757" s="17">
        <f t="shared" si="48"/>
        <v>10.32</v>
      </c>
      <c r="I757" s="2">
        <f>1+1</f>
        <v>2</v>
      </c>
      <c r="K757" s="18">
        <f t="shared" si="49"/>
        <v>129</v>
      </c>
    </row>
    <row r="758" spans="1:11" ht="12.75">
      <c r="A758" s="14" t="s">
        <v>693</v>
      </c>
      <c r="B758" s="15" t="s">
        <v>694</v>
      </c>
      <c r="C758" s="2">
        <v>1</v>
      </c>
      <c r="E758" s="2">
        <f>34</f>
        <v>34</v>
      </c>
      <c r="G758" s="2">
        <f>253</f>
        <v>253</v>
      </c>
      <c r="H758" s="17">
        <f t="shared" si="48"/>
        <v>7.4411764705882355</v>
      </c>
      <c r="I758" s="2">
        <f>0</f>
        <v>0</v>
      </c>
      <c r="K758" s="18">
        <f t="shared" si="49"/>
        <v>253</v>
      </c>
    </row>
    <row r="759" spans="1:11" ht="12.75">
      <c r="A759" s="14" t="s">
        <v>1304</v>
      </c>
      <c r="B759" s="15" t="s">
        <v>1037</v>
      </c>
      <c r="C759" s="2">
        <v>1</v>
      </c>
      <c r="E759" s="2">
        <v>22</v>
      </c>
      <c r="G759" s="2">
        <v>251</v>
      </c>
      <c r="H759" s="17">
        <f t="shared" si="48"/>
        <v>11.409090909090908</v>
      </c>
      <c r="I759" s="2">
        <v>3</v>
      </c>
      <c r="K759" s="18">
        <f t="shared" si="49"/>
        <v>251</v>
      </c>
    </row>
    <row r="760" spans="1:11" ht="12.75">
      <c r="A760" s="14" t="s">
        <v>1342</v>
      </c>
      <c r="B760" s="15" t="s">
        <v>134</v>
      </c>
      <c r="C760" s="2">
        <v>3</v>
      </c>
      <c r="E760" s="2">
        <f>16+2+4</f>
        <v>22</v>
      </c>
      <c r="G760" s="2">
        <f>186+28+36</f>
        <v>250</v>
      </c>
      <c r="H760" s="17">
        <f t="shared" si="48"/>
        <v>11.363636363636363</v>
      </c>
      <c r="I760" s="2">
        <f>3+0+0</f>
        <v>3</v>
      </c>
      <c r="K760" s="18">
        <f t="shared" si="49"/>
        <v>83.33333333333333</v>
      </c>
    </row>
    <row r="761" spans="1:11" ht="12.75">
      <c r="A761" s="14" t="s">
        <v>1311</v>
      </c>
      <c r="B761" s="15" t="s">
        <v>1714</v>
      </c>
      <c r="C761" s="2">
        <v>3</v>
      </c>
      <c r="E761" s="2">
        <f>6+11+1</f>
        <v>18</v>
      </c>
      <c r="G761" s="2">
        <f>83+150+13</f>
        <v>246</v>
      </c>
      <c r="H761" s="17">
        <f t="shared" si="48"/>
        <v>13.666666666666666</v>
      </c>
      <c r="I761" s="2">
        <f>0+1+0</f>
        <v>1</v>
      </c>
      <c r="K761" s="18">
        <f t="shared" si="49"/>
        <v>82</v>
      </c>
    </row>
    <row r="762" spans="1:11" ht="12.75">
      <c r="A762" s="14" t="s">
        <v>503</v>
      </c>
      <c r="B762" s="15" t="s">
        <v>502</v>
      </c>
      <c r="C762" s="2">
        <v>1</v>
      </c>
      <c r="E762" s="2">
        <v>29</v>
      </c>
      <c r="G762" s="2">
        <v>245</v>
      </c>
      <c r="H762" s="17">
        <f t="shared" si="48"/>
        <v>8.448275862068966</v>
      </c>
      <c r="I762" s="2">
        <v>1</v>
      </c>
      <c r="K762" s="18">
        <f t="shared" si="49"/>
        <v>245</v>
      </c>
    </row>
    <row r="763" spans="1:11" ht="12.75">
      <c r="A763" s="14" t="s">
        <v>1333</v>
      </c>
      <c r="B763" s="15" t="s">
        <v>1972</v>
      </c>
      <c r="C763" s="2">
        <v>3</v>
      </c>
      <c r="E763" s="2">
        <f>5+4+9</f>
        <v>18</v>
      </c>
      <c r="G763" s="2">
        <f>51+28+165</f>
        <v>244</v>
      </c>
      <c r="H763" s="17">
        <f t="shared" si="48"/>
        <v>13.555555555555555</v>
      </c>
      <c r="I763" s="2">
        <f>1+1+0</f>
        <v>2</v>
      </c>
      <c r="K763" s="18">
        <f t="shared" si="49"/>
        <v>81.33333333333333</v>
      </c>
    </row>
    <row r="764" spans="1:11" ht="12.75">
      <c r="A764" s="14" t="s">
        <v>543</v>
      </c>
      <c r="B764" s="15" t="s">
        <v>542</v>
      </c>
      <c r="C764" s="2">
        <v>1</v>
      </c>
      <c r="E764" s="2">
        <f>28</f>
        <v>28</v>
      </c>
      <c r="G764" s="2">
        <f>241</f>
        <v>241</v>
      </c>
      <c r="H764" s="17">
        <f t="shared" si="48"/>
        <v>8.607142857142858</v>
      </c>
      <c r="I764" s="2">
        <f>0</f>
        <v>0</v>
      </c>
      <c r="K764" s="18">
        <f t="shared" si="49"/>
        <v>241</v>
      </c>
    </row>
    <row r="765" spans="1:11" ht="12.75">
      <c r="A765" s="14" t="s">
        <v>2024</v>
      </c>
      <c r="B765" s="15" t="s">
        <v>2025</v>
      </c>
      <c r="C765" s="2">
        <v>1</v>
      </c>
      <c r="E765" s="2">
        <v>28</v>
      </c>
      <c r="G765" s="2">
        <v>231</v>
      </c>
      <c r="H765" s="17">
        <f t="shared" si="48"/>
        <v>8.25</v>
      </c>
      <c r="I765" s="2">
        <v>0</v>
      </c>
      <c r="K765" s="18">
        <f t="shared" si="49"/>
        <v>231</v>
      </c>
    </row>
    <row r="766" spans="1:11" ht="12.75">
      <c r="A766" s="14" t="s">
        <v>1712</v>
      </c>
      <c r="B766" s="15" t="s">
        <v>1711</v>
      </c>
      <c r="C766" s="2">
        <v>1</v>
      </c>
      <c r="E766" s="2">
        <v>27</v>
      </c>
      <c r="G766" s="2">
        <v>227</v>
      </c>
      <c r="H766" s="17">
        <f t="shared" si="48"/>
        <v>8.407407407407407</v>
      </c>
      <c r="I766" s="2">
        <v>0</v>
      </c>
      <c r="K766" s="18">
        <f t="shared" si="49"/>
        <v>227</v>
      </c>
    </row>
    <row r="767" spans="1:11" ht="12.75">
      <c r="A767" s="14" t="s">
        <v>371</v>
      </c>
      <c r="B767" s="15" t="s">
        <v>653</v>
      </c>
      <c r="C767" s="2">
        <v>2</v>
      </c>
      <c r="E767" s="2">
        <f>5+18</f>
        <v>23</v>
      </c>
      <c r="G767" s="2">
        <f>50+173</f>
        <v>223</v>
      </c>
      <c r="H767" s="17">
        <f t="shared" si="48"/>
        <v>9.695652173913043</v>
      </c>
      <c r="I767" s="2">
        <f>1+5</f>
        <v>6</v>
      </c>
      <c r="K767" s="18">
        <f t="shared" si="49"/>
        <v>111.5</v>
      </c>
    </row>
    <row r="768" spans="1:11" ht="12.75">
      <c r="A768" s="14" t="s">
        <v>32</v>
      </c>
      <c r="B768" s="15" t="s">
        <v>657</v>
      </c>
      <c r="C768" s="2">
        <v>2</v>
      </c>
      <c r="E768" s="2">
        <f>13+1</f>
        <v>14</v>
      </c>
      <c r="G768" s="2">
        <f>211+10</f>
        <v>221</v>
      </c>
      <c r="H768" s="17">
        <f t="shared" si="48"/>
        <v>15.785714285714286</v>
      </c>
      <c r="I768" s="2">
        <f>1+0</f>
        <v>1</v>
      </c>
      <c r="K768" s="18">
        <f t="shared" si="49"/>
        <v>110.5</v>
      </c>
    </row>
    <row r="769" spans="1:11" ht="12.75">
      <c r="A769" s="14" t="s">
        <v>936</v>
      </c>
      <c r="B769" s="15" t="s">
        <v>930</v>
      </c>
      <c r="C769" s="2">
        <v>1</v>
      </c>
      <c r="E769" s="2">
        <f>16</f>
        <v>16</v>
      </c>
      <c r="G769" s="2">
        <f>220</f>
        <v>220</v>
      </c>
      <c r="H769" s="17">
        <f t="shared" si="48"/>
        <v>13.75</v>
      </c>
      <c r="I769" s="2">
        <f>0</f>
        <v>0</v>
      </c>
      <c r="K769" s="18">
        <f t="shared" si="49"/>
        <v>220</v>
      </c>
    </row>
    <row r="770" spans="1:11" ht="12.75">
      <c r="A770" s="14" t="s">
        <v>29</v>
      </c>
      <c r="B770" s="15" t="s">
        <v>535</v>
      </c>
      <c r="C770" s="2">
        <v>4</v>
      </c>
      <c r="E770" s="2">
        <f>3+5+14+1</f>
        <v>23</v>
      </c>
      <c r="G770" s="2">
        <f>16+47+151+6</f>
        <v>220</v>
      </c>
      <c r="H770" s="17">
        <f t="shared" si="48"/>
        <v>9.565217391304348</v>
      </c>
      <c r="I770" s="2">
        <f>0+0+0+0</f>
        <v>0</v>
      </c>
      <c r="K770" s="18">
        <f t="shared" si="49"/>
        <v>55</v>
      </c>
    </row>
    <row r="771" spans="1:11" ht="12.75">
      <c r="A771" s="14" t="s">
        <v>1308</v>
      </c>
      <c r="B771" s="15" t="s">
        <v>1061</v>
      </c>
      <c r="C771" s="2">
        <v>1</v>
      </c>
      <c r="E771" s="2">
        <v>26</v>
      </c>
      <c r="G771" s="2">
        <v>216</v>
      </c>
      <c r="H771" s="17">
        <f t="shared" si="48"/>
        <v>8.307692307692308</v>
      </c>
      <c r="I771" s="2">
        <v>1</v>
      </c>
      <c r="K771" s="18">
        <f t="shared" si="49"/>
        <v>216</v>
      </c>
    </row>
    <row r="772" spans="1:11" ht="12.75">
      <c r="A772" s="14" t="s">
        <v>1805</v>
      </c>
      <c r="B772" s="15" t="s">
        <v>300</v>
      </c>
      <c r="C772" s="2">
        <v>4</v>
      </c>
      <c r="E772" s="2">
        <f>7+1+7+20</f>
        <v>35</v>
      </c>
      <c r="G772" s="2">
        <f>43+5+60+107</f>
        <v>215</v>
      </c>
      <c r="H772" s="17">
        <f t="shared" si="48"/>
        <v>6.142857142857143</v>
      </c>
      <c r="I772" s="2">
        <f>0+0+0+0</f>
        <v>0</v>
      </c>
      <c r="K772" s="18">
        <f t="shared" si="49"/>
        <v>53.75</v>
      </c>
    </row>
    <row r="773" spans="1:11" ht="12.75">
      <c r="A773" s="14" t="s">
        <v>929</v>
      </c>
      <c r="B773" s="15" t="s">
        <v>930</v>
      </c>
      <c r="C773" s="2">
        <v>1</v>
      </c>
      <c r="E773" s="2">
        <f>26</f>
        <v>26</v>
      </c>
      <c r="G773" s="2">
        <f>214</f>
        <v>214</v>
      </c>
      <c r="H773" s="17">
        <f t="shared" si="48"/>
        <v>8.23076923076923</v>
      </c>
      <c r="I773" s="2">
        <f>0</f>
        <v>0</v>
      </c>
      <c r="K773" s="18">
        <f t="shared" si="49"/>
        <v>214</v>
      </c>
    </row>
    <row r="774" spans="1:11" ht="12.75">
      <c r="A774" s="14" t="s">
        <v>674</v>
      </c>
      <c r="B774" s="15" t="s">
        <v>675</v>
      </c>
      <c r="C774" s="2">
        <v>1</v>
      </c>
      <c r="E774" s="2">
        <f>29</f>
        <v>29</v>
      </c>
      <c r="G774" s="2">
        <f>214</f>
        <v>214</v>
      </c>
      <c r="H774" s="17">
        <f t="shared" si="48"/>
        <v>7.379310344827586</v>
      </c>
      <c r="I774" s="2">
        <f>0</f>
        <v>0</v>
      </c>
      <c r="K774" s="18">
        <f t="shared" si="49"/>
        <v>214</v>
      </c>
    </row>
    <row r="775" spans="1:11" ht="12.75">
      <c r="A775" s="14" t="s">
        <v>1171</v>
      </c>
      <c r="B775" s="15" t="s">
        <v>1028</v>
      </c>
      <c r="C775" s="2">
        <v>2</v>
      </c>
      <c r="E775" s="2">
        <f>24+11</f>
        <v>35</v>
      </c>
      <c r="G775" s="2">
        <f>146+68</f>
        <v>214</v>
      </c>
      <c r="H775" s="17">
        <f t="shared" si="48"/>
        <v>6.114285714285714</v>
      </c>
      <c r="I775" s="2">
        <f>2+0</f>
        <v>2</v>
      </c>
      <c r="K775" s="18">
        <f t="shared" si="49"/>
        <v>107</v>
      </c>
    </row>
    <row r="776" spans="1:11" ht="12.75">
      <c r="A776" s="14" t="s">
        <v>2008</v>
      </c>
      <c r="B776" s="15" t="s">
        <v>604</v>
      </c>
      <c r="C776" s="2">
        <v>3</v>
      </c>
      <c r="E776" s="2">
        <f>2+7+24</f>
        <v>33</v>
      </c>
      <c r="G776" s="2">
        <f>4+52+157</f>
        <v>213</v>
      </c>
      <c r="H776" s="17">
        <f t="shared" si="48"/>
        <v>6.454545454545454</v>
      </c>
      <c r="I776" s="2">
        <f>1+0+1</f>
        <v>2</v>
      </c>
      <c r="K776" s="18">
        <f t="shared" si="49"/>
        <v>71</v>
      </c>
    </row>
    <row r="777" spans="1:11" ht="12.75">
      <c r="A777" s="14" t="s">
        <v>1309</v>
      </c>
      <c r="B777" s="15" t="s">
        <v>1015</v>
      </c>
      <c r="C777" s="2">
        <v>1</v>
      </c>
      <c r="E777" s="2">
        <v>19</v>
      </c>
      <c r="G777" s="2">
        <v>211</v>
      </c>
      <c r="H777" s="17">
        <f t="shared" si="48"/>
        <v>11.105263157894736</v>
      </c>
      <c r="I777" s="2">
        <v>0</v>
      </c>
      <c r="K777" s="18">
        <f t="shared" si="49"/>
        <v>211</v>
      </c>
    </row>
    <row r="778" spans="1:11" ht="12.75">
      <c r="A778" s="14" t="s">
        <v>916</v>
      </c>
      <c r="B778" s="15" t="s">
        <v>917</v>
      </c>
      <c r="C778" s="2">
        <v>1</v>
      </c>
      <c r="E778" s="2">
        <f>16</f>
        <v>16</v>
      </c>
      <c r="G778" s="2">
        <f>210</f>
        <v>210</v>
      </c>
      <c r="H778" s="17">
        <f t="shared" si="48"/>
        <v>13.125</v>
      </c>
      <c r="I778" s="2">
        <f>3</f>
        <v>3</v>
      </c>
      <c r="K778" s="18">
        <f t="shared" si="49"/>
        <v>210</v>
      </c>
    </row>
    <row r="779" spans="1:11" ht="12.75">
      <c r="A779" s="14" t="s">
        <v>757</v>
      </c>
      <c r="B779" s="15" t="s">
        <v>755</v>
      </c>
      <c r="C779" s="2">
        <v>1</v>
      </c>
      <c r="E779" s="2">
        <f>22</f>
        <v>22</v>
      </c>
      <c r="G779" s="2">
        <f>203</f>
        <v>203</v>
      </c>
      <c r="H779" s="17">
        <f t="shared" si="48"/>
        <v>9.227272727272727</v>
      </c>
      <c r="I779" s="2">
        <f>0</f>
        <v>0</v>
      </c>
      <c r="K779" s="18">
        <f t="shared" si="49"/>
        <v>203</v>
      </c>
    </row>
    <row r="780" spans="1:11" ht="12.75">
      <c r="A780" s="14" t="s">
        <v>1371</v>
      </c>
      <c r="B780" s="15" t="s">
        <v>1372</v>
      </c>
      <c r="C780" s="2">
        <v>1</v>
      </c>
      <c r="E780" s="2">
        <v>17</v>
      </c>
      <c r="G780" s="2">
        <v>197</v>
      </c>
      <c r="H780" s="17">
        <f t="shared" si="48"/>
        <v>11.588235294117647</v>
      </c>
      <c r="I780" s="2">
        <v>0</v>
      </c>
      <c r="K780" s="18">
        <f t="shared" si="49"/>
        <v>197</v>
      </c>
    </row>
    <row r="781" spans="1:11" ht="12.75">
      <c r="A781" s="14" t="s">
        <v>1139</v>
      </c>
      <c r="B781" s="15" t="s">
        <v>1751</v>
      </c>
      <c r="C781" s="2">
        <v>2</v>
      </c>
      <c r="E781" s="2">
        <f>20+9</f>
        <v>29</v>
      </c>
      <c r="G781" s="2">
        <f>132+61</f>
        <v>193</v>
      </c>
      <c r="H781" s="17">
        <f t="shared" si="48"/>
        <v>6.655172413793103</v>
      </c>
      <c r="I781" s="2">
        <f>0+0</f>
        <v>0</v>
      </c>
      <c r="K781" s="18">
        <f t="shared" si="49"/>
        <v>96.5</v>
      </c>
    </row>
    <row r="782" spans="1:11" ht="12.75">
      <c r="A782" s="14" t="s">
        <v>1164</v>
      </c>
      <c r="B782" s="15" t="s">
        <v>37</v>
      </c>
      <c r="C782" s="2">
        <v>2</v>
      </c>
      <c r="E782" s="2">
        <f>11+12</f>
        <v>23</v>
      </c>
      <c r="G782" s="2">
        <f>74+117</f>
        <v>191</v>
      </c>
      <c r="H782" s="17">
        <f t="shared" si="48"/>
        <v>8.304347826086957</v>
      </c>
      <c r="I782" s="2">
        <f>0+3</f>
        <v>3</v>
      </c>
      <c r="K782" s="18">
        <f t="shared" si="49"/>
        <v>95.5</v>
      </c>
    </row>
    <row r="783" spans="1:11" ht="12.75">
      <c r="A783" s="14" t="s">
        <v>1792</v>
      </c>
      <c r="B783" s="15" t="s">
        <v>771</v>
      </c>
      <c r="C783" s="2">
        <v>2</v>
      </c>
      <c r="E783" s="2">
        <f>3+21</f>
        <v>24</v>
      </c>
      <c r="G783" s="2">
        <f>37+152</f>
        <v>189</v>
      </c>
      <c r="H783" s="17">
        <f t="shared" si="48"/>
        <v>7.875</v>
      </c>
      <c r="I783" s="2">
        <f>0+0</f>
        <v>0</v>
      </c>
      <c r="K783" s="18">
        <f t="shared" si="49"/>
        <v>94.5</v>
      </c>
    </row>
    <row r="784" spans="1:11" ht="12.75">
      <c r="A784" s="14" t="s">
        <v>40</v>
      </c>
      <c r="B784" s="15" t="s">
        <v>1966</v>
      </c>
      <c r="C784" s="2">
        <v>1</v>
      </c>
      <c r="E784" s="2">
        <v>18</v>
      </c>
      <c r="G784" s="2">
        <v>181</v>
      </c>
      <c r="H784" s="17">
        <f t="shared" si="48"/>
        <v>10.055555555555555</v>
      </c>
      <c r="I784" s="2">
        <v>0</v>
      </c>
      <c r="K784" s="18">
        <f t="shared" si="49"/>
        <v>181</v>
      </c>
    </row>
    <row r="785" spans="1:11" ht="12.75">
      <c r="A785" s="14" t="s">
        <v>385</v>
      </c>
      <c r="B785" s="15" t="s">
        <v>384</v>
      </c>
      <c r="C785" s="2">
        <v>1</v>
      </c>
      <c r="E785" s="2">
        <v>25</v>
      </c>
      <c r="G785" s="2">
        <v>181</v>
      </c>
      <c r="H785" s="17">
        <f t="shared" si="48"/>
        <v>7.24</v>
      </c>
      <c r="I785" s="2">
        <v>1</v>
      </c>
      <c r="K785" s="18">
        <f t="shared" si="49"/>
        <v>181</v>
      </c>
    </row>
    <row r="786" spans="1:11" ht="12.75">
      <c r="A786" s="14" t="s">
        <v>1330</v>
      </c>
      <c r="B786" s="15" t="s">
        <v>474</v>
      </c>
      <c r="C786" s="2">
        <v>2</v>
      </c>
      <c r="E786" s="2">
        <f>4+8</f>
        <v>12</v>
      </c>
      <c r="G786" s="2">
        <f>66+111</f>
        <v>177</v>
      </c>
      <c r="H786" s="17">
        <f t="shared" si="48"/>
        <v>14.75</v>
      </c>
      <c r="I786" s="2">
        <f>0+0</f>
        <v>0</v>
      </c>
      <c r="K786" s="18">
        <f t="shared" si="49"/>
        <v>88.5</v>
      </c>
    </row>
    <row r="787" spans="1:11" ht="12.75">
      <c r="A787" s="14" t="s">
        <v>44</v>
      </c>
      <c r="B787" s="15" t="s">
        <v>269</v>
      </c>
      <c r="C787" s="2">
        <v>3</v>
      </c>
      <c r="E787" s="2">
        <f>1+2+11</f>
        <v>14</v>
      </c>
      <c r="G787" s="2">
        <f>30+39+107</f>
        <v>176</v>
      </c>
      <c r="H787" s="17">
        <f t="shared" si="48"/>
        <v>12.571428571428571</v>
      </c>
      <c r="I787" s="2">
        <f>0+0+1</f>
        <v>1</v>
      </c>
      <c r="K787" s="18">
        <f t="shared" si="49"/>
        <v>58.666666666666664</v>
      </c>
    </row>
    <row r="788" spans="1:11" ht="12.75">
      <c r="A788" s="14" t="s">
        <v>447</v>
      </c>
      <c r="B788" s="15" t="s">
        <v>448</v>
      </c>
      <c r="C788" s="2">
        <v>1</v>
      </c>
      <c r="E788" s="2">
        <f>11</f>
        <v>11</v>
      </c>
      <c r="G788" s="2">
        <f>175</f>
        <v>175</v>
      </c>
      <c r="H788" s="17">
        <f t="shared" si="48"/>
        <v>15.909090909090908</v>
      </c>
      <c r="I788" s="2">
        <f>0</f>
        <v>0</v>
      </c>
      <c r="K788" s="18">
        <f t="shared" si="49"/>
        <v>175</v>
      </c>
    </row>
    <row r="789" spans="1:11" ht="12.75">
      <c r="A789" s="14" t="s">
        <v>116</v>
      </c>
      <c r="B789" s="15" t="s">
        <v>117</v>
      </c>
      <c r="C789" s="2">
        <v>1</v>
      </c>
      <c r="E789" s="2">
        <v>15</v>
      </c>
      <c r="G789" s="2">
        <v>175</v>
      </c>
      <c r="H789" s="17">
        <f t="shared" si="48"/>
        <v>11.666666666666666</v>
      </c>
      <c r="I789" s="2">
        <v>0</v>
      </c>
      <c r="K789" s="18">
        <f t="shared" si="49"/>
        <v>175</v>
      </c>
    </row>
    <row r="790" spans="1:11" ht="12.75">
      <c r="A790" s="14" t="s">
        <v>14</v>
      </c>
      <c r="B790" s="15" t="s">
        <v>308</v>
      </c>
      <c r="C790" s="2">
        <v>1</v>
      </c>
      <c r="E790" s="2">
        <f>18</f>
        <v>18</v>
      </c>
      <c r="G790" s="2">
        <f>169</f>
        <v>169</v>
      </c>
      <c r="H790" s="17">
        <f t="shared" si="48"/>
        <v>9.38888888888889</v>
      </c>
      <c r="I790" s="2">
        <f>1</f>
        <v>1</v>
      </c>
      <c r="K790" s="18">
        <f t="shared" si="49"/>
        <v>169</v>
      </c>
    </row>
    <row r="791" spans="1:11" ht="12.75">
      <c r="A791" s="14" t="s">
        <v>1310</v>
      </c>
      <c r="B791" s="15" t="s">
        <v>1067</v>
      </c>
      <c r="C791" s="2">
        <v>1</v>
      </c>
      <c r="E791" s="2">
        <v>13</v>
      </c>
      <c r="G791" s="2">
        <v>168</v>
      </c>
      <c r="H791" s="17">
        <f t="shared" si="48"/>
        <v>12.923076923076923</v>
      </c>
      <c r="I791" s="2">
        <v>2</v>
      </c>
      <c r="K791" s="18">
        <f t="shared" si="49"/>
        <v>168</v>
      </c>
    </row>
    <row r="792" spans="1:11" ht="12.75">
      <c r="A792" s="14" t="s">
        <v>115</v>
      </c>
      <c r="B792" s="15" t="s">
        <v>2025</v>
      </c>
      <c r="C792" s="2">
        <v>1</v>
      </c>
      <c r="E792" s="2">
        <v>14</v>
      </c>
      <c r="G792" s="2">
        <v>168</v>
      </c>
      <c r="H792" s="17">
        <f t="shared" si="48"/>
        <v>12</v>
      </c>
      <c r="I792" s="2">
        <v>1</v>
      </c>
      <c r="K792" s="18">
        <f t="shared" si="49"/>
        <v>168</v>
      </c>
    </row>
    <row r="793" spans="1:11" ht="12.75">
      <c r="A793" s="14" t="s">
        <v>125</v>
      </c>
      <c r="B793" s="15" t="s">
        <v>1980</v>
      </c>
      <c r="C793" s="2">
        <v>1</v>
      </c>
      <c r="E793" s="2">
        <v>14</v>
      </c>
      <c r="G793" s="2">
        <v>165</v>
      </c>
      <c r="H793" s="17">
        <f t="shared" si="48"/>
        <v>11.785714285714286</v>
      </c>
      <c r="I793" s="2">
        <v>2</v>
      </c>
      <c r="K793" s="18">
        <f t="shared" si="49"/>
        <v>165</v>
      </c>
    </row>
    <row r="794" spans="1:11" ht="12.75">
      <c r="A794" s="14" t="s">
        <v>1162</v>
      </c>
      <c r="B794" s="15" t="s">
        <v>1977</v>
      </c>
      <c r="C794" s="2">
        <v>1</v>
      </c>
      <c r="E794" s="2">
        <v>17</v>
      </c>
      <c r="G794" s="2">
        <v>164</v>
      </c>
      <c r="H794" s="17">
        <f t="shared" si="48"/>
        <v>9.647058823529411</v>
      </c>
      <c r="I794" s="2">
        <v>1</v>
      </c>
      <c r="K794" s="18">
        <f t="shared" si="49"/>
        <v>164</v>
      </c>
    </row>
    <row r="795" spans="1:11" ht="12.75">
      <c r="A795" s="14" t="s">
        <v>1314</v>
      </c>
      <c r="B795" s="15" t="s">
        <v>1024</v>
      </c>
      <c r="C795" s="2">
        <v>2</v>
      </c>
      <c r="E795" s="2">
        <f>2+15</f>
        <v>17</v>
      </c>
      <c r="G795" s="2">
        <f>18+144</f>
        <v>162</v>
      </c>
      <c r="H795" s="17">
        <f t="shared" si="48"/>
        <v>9.529411764705882</v>
      </c>
      <c r="I795" s="2">
        <f>0+0</f>
        <v>0</v>
      </c>
      <c r="K795" s="18">
        <f t="shared" si="49"/>
        <v>81</v>
      </c>
    </row>
    <row r="796" spans="1:11" ht="12.75">
      <c r="A796" s="14" t="s">
        <v>800</v>
      </c>
      <c r="B796" s="15" t="s">
        <v>801</v>
      </c>
      <c r="C796" s="2">
        <v>1</v>
      </c>
      <c r="E796" s="2">
        <f>18</f>
        <v>18</v>
      </c>
      <c r="G796" s="2">
        <f>160</f>
        <v>160</v>
      </c>
      <c r="H796" s="17">
        <f t="shared" si="48"/>
        <v>8.88888888888889</v>
      </c>
      <c r="I796" s="2">
        <f>1</f>
        <v>1</v>
      </c>
      <c r="K796" s="18">
        <f t="shared" si="49"/>
        <v>160</v>
      </c>
    </row>
    <row r="797" spans="1:11" ht="12.75">
      <c r="A797" s="14" t="s">
        <v>1373</v>
      </c>
      <c r="B797" s="15" t="s">
        <v>1374</v>
      </c>
      <c r="C797" s="2">
        <v>1</v>
      </c>
      <c r="E797" s="2">
        <v>18</v>
      </c>
      <c r="G797" s="2">
        <v>159</v>
      </c>
      <c r="H797" s="17">
        <f t="shared" si="48"/>
        <v>8.833333333333334</v>
      </c>
      <c r="I797" s="2">
        <v>0</v>
      </c>
      <c r="K797" s="18">
        <f t="shared" si="49"/>
        <v>159</v>
      </c>
    </row>
    <row r="798" spans="1:11" ht="12.75">
      <c r="A798" s="14" t="s">
        <v>46</v>
      </c>
      <c r="B798" s="15" t="s">
        <v>393</v>
      </c>
      <c r="C798" s="2">
        <v>2</v>
      </c>
      <c r="E798" s="2">
        <f>16+4</f>
        <v>20</v>
      </c>
      <c r="G798" s="2">
        <f>131+24</f>
        <v>155</v>
      </c>
      <c r="H798" s="17">
        <f t="shared" si="48"/>
        <v>7.75</v>
      </c>
      <c r="I798" s="2">
        <f>2+0</f>
        <v>2</v>
      </c>
      <c r="K798" s="18">
        <f t="shared" si="49"/>
        <v>77.5</v>
      </c>
    </row>
    <row r="799" spans="1:11" ht="12.75">
      <c r="A799" s="14" t="s">
        <v>10</v>
      </c>
      <c r="B799" s="15" t="s">
        <v>878</v>
      </c>
      <c r="C799" s="2">
        <v>1</v>
      </c>
      <c r="E799" s="2">
        <f>17</f>
        <v>17</v>
      </c>
      <c r="G799" s="2">
        <f>151</f>
        <v>151</v>
      </c>
      <c r="H799" s="17">
        <f t="shared" si="48"/>
        <v>8.882352941176471</v>
      </c>
      <c r="I799" s="2">
        <f>4</f>
        <v>4</v>
      </c>
      <c r="K799" s="18">
        <f t="shared" si="49"/>
        <v>151</v>
      </c>
    </row>
    <row r="800" spans="1:11" ht="12.75">
      <c r="A800" s="14" t="s">
        <v>1141</v>
      </c>
      <c r="B800" s="15" t="s">
        <v>321</v>
      </c>
      <c r="C800" s="2">
        <v>4</v>
      </c>
      <c r="E800" s="2">
        <f>2+3+4+12</f>
        <v>21</v>
      </c>
      <c r="G800" s="2">
        <f>3+24+32+90</f>
        <v>149</v>
      </c>
      <c r="H800" s="17">
        <f t="shared" si="48"/>
        <v>7.095238095238095</v>
      </c>
      <c r="I800" s="2">
        <f>0+0+0+0</f>
        <v>0</v>
      </c>
      <c r="K800" s="18">
        <f t="shared" si="49"/>
        <v>37.25</v>
      </c>
    </row>
    <row r="801" spans="1:11" ht="12.75">
      <c r="A801" s="14" t="s">
        <v>1152</v>
      </c>
      <c r="B801" s="15" t="s">
        <v>1077</v>
      </c>
      <c r="C801" s="2">
        <v>1</v>
      </c>
      <c r="E801" s="2">
        <v>13</v>
      </c>
      <c r="G801" s="2">
        <v>148</v>
      </c>
      <c r="H801" s="17">
        <f t="shared" si="48"/>
        <v>11.384615384615385</v>
      </c>
      <c r="I801" s="2">
        <v>0</v>
      </c>
      <c r="K801" s="18">
        <f t="shared" si="49"/>
        <v>148</v>
      </c>
    </row>
    <row r="802" spans="1:11" ht="12.75">
      <c r="A802" s="14" t="s">
        <v>249</v>
      </c>
      <c r="B802" s="15" t="s">
        <v>555</v>
      </c>
      <c r="C802" s="2">
        <v>3</v>
      </c>
      <c r="E802" s="2">
        <f>5+1+4</f>
        <v>10</v>
      </c>
      <c r="G802" s="2">
        <f>77+5+66</f>
        <v>148</v>
      </c>
      <c r="H802" s="17">
        <f t="shared" si="48"/>
        <v>14.8</v>
      </c>
      <c r="I802" s="2">
        <f>0+0+0</f>
        <v>0</v>
      </c>
      <c r="K802" s="18">
        <f t="shared" si="49"/>
        <v>49.333333333333336</v>
      </c>
    </row>
    <row r="803" spans="1:11" ht="12.75">
      <c r="A803" s="14" t="s">
        <v>0</v>
      </c>
      <c r="B803" s="15" t="s">
        <v>414</v>
      </c>
      <c r="C803" s="2">
        <v>2</v>
      </c>
      <c r="E803" s="2">
        <f>4+13</f>
        <v>17</v>
      </c>
      <c r="G803" s="2">
        <f>46+99</f>
        <v>145</v>
      </c>
      <c r="H803" s="17">
        <f t="shared" si="48"/>
        <v>8.529411764705882</v>
      </c>
      <c r="I803" s="2">
        <f>0+0</f>
        <v>0</v>
      </c>
      <c r="K803" s="18">
        <f t="shared" si="49"/>
        <v>72.5</v>
      </c>
    </row>
    <row r="804" spans="1:11" ht="12.75">
      <c r="A804" s="14" t="s">
        <v>1375</v>
      </c>
      <c r="B804" s="15" t="s">
        <v>1194</v>
      </c>
      <c r="C804" s="2">
        <v>1</v>
      </c>
      <c r="E804" s="2">
        <v>11</v>
      </c>
      <c r="G804" s="2">
        <v>143</v>
      </c>
      <c r="H804" s="17">
        <f t="shared" si="48"/>
        <v>13</v>
      </c>
      <c r="I804" s="2">
        <v>1</v>
      </c>
      <c r="K804" s="18">
        <f t="shared" si="49"/>
        <v>143</v>
      </c>
    </row>
    <row r="805" spans="1:11" ht="12.75">
      <c r="A805" s="14" t="s">
        <v>1148</v>
      </c>
      <c r="B805" s="15" t="s">
        <v>682</v>
      </c>
      <c r="C805" s="2">
        <v>3</v>
      </c>
      <c r="E805" s="2">
        <f>2+1+17</f>
        <v>20</v>
      </c>
      <c r="G805" s="2">
        <f>5+6+132</f>
        <v>143</v>
      </c>
      <c r="H805" s="17">
        <f aca="true" t="shared" si="50" ref="H805:H868">G805/E805</f>
        <v>7.15</v>
      </c>
      <c r="I805" s="2">
        <f>0+0+0</f>
        <v>0</v>
      </c>
      <c r="K805" s="18">
        <f aca="true" t="shared" si="51" ref="K805:K868">IF(C805=0,0,G805/C805)</f>
        <v>47.666666666666664</v>
      </c>
    </row>
    <row r="806" spans="1:11" ht="12.75">
      <c r="A806" s="14" t="s">
        <v>1113</v>
      </c>
      <c r="B806" s="15" t="s">
        <v>1812</v>
      </c>
      <c r="C806" s="2">
        <v>2</v>
      </c>
      <c r="E806" s="2">
        <f>8+5</f>
        <v>13</v>
      </c>
      <c r="G806" s="2">
        <f>97+43</f>
        <v>140</v>
      </c>
      <c r="H806" s="17">
        <f t="shared" si="50"/>
        <v>10.76923076923077</v>
      </c>
      <c r="I806" s="2">
        <f>0+2</f>
        <v>2</v>
      </c>
      <c r="K806" s="18">
        <f t="shared" si="51"/>
        <v>70</v>
      </c>
    </row>
    <row r="807" spans="1:11" ht="12.75">
      <c r="A807" s="14" t="s">
        <v>60</v>
      </c>
      <c r="B807" s="15" t="s">
        <v>54</v>
      </c>
      <c r="C807" s="2">
        <v>1</v>
      </c>
      <c r="E807" s="2">
        <f>11</f>
        <v>11</v>
      </c>
      <c r="G807" s="2">
        <f>132</f>
        <v>132</v>
      </c>
      <c r="H807" s="17">
        <f t="shared" si="50"/>
        <v>12</v>
      </c>
      <c r="I807" s="2">
        <f>0</f>
        <v>0</v>
      </c>
      <c r="K807" s="18">
        <f t="shared" si="51"/>
        <v>132</v>
      </c>
    </row>
    <row r="808" spans="1:11" ht="12.75">
      <c r="A808" s="14" t="s">
        <v>1327</v>
      </c>
      <c r="B808" s="15" t="s">
        <v>1087</v>
      </c>
      <c r="C808" s="2">
        <v>2</v>
      </c>
      <c r="E808" s="2">
        <f>5+7</f>
        <v>12</v>
      </c>
      <c r="G808" s="2">
        <f>59+72</f>
        <v>131</v>
      </c>
      <c r="H808" s="17">
        <f t="shared" si="50"/>
        <v>10.916666666666666</v>
      </c>
      <c r="I808" s="2">
        <f>0+0</f>
        <v>0</v>
      </c>
      <c r="K808" s="18">
        <f t="shared" si="51"/>
        <v>65.5</v>
      </c>
    </row>
    <row r="809" spans="1:11" ht="12.75">
      <c r="A809" s="14" t="s">
        <v>302</v>
      </c>
      <c r="B809" s="15" t="s">
        <v>297</v>
      </c>
      <c r="C809" s="2">
        <v>1</v>
      </c>
      <c r="E809" s="2">
        <f>9</f>
        <v>9</v>
      </c>
      <c r="G809" s="2">
        <f>129</f>
        <v>129</v>
      </c>
      <c r="H809" s="17">
        <f t="shared" si="50"/>
        <v>14.333333333333334</v>
      </c>
      <c r="I809" s="2">
        <f>0</f>
        <v>0</v>
      </c>
      <c r="K809" s="18">
        <f t="shared" si="51"/>
        <v>129</v>
      </c>
    </row>
    <row r="810" spans="1:11" ht="12.75">
      <c r="A810" s="14" t="s">
        <v>118</v>
      </c>
      <c r="B810" s="15" t="s">
        <v>117</v>
      </c>
      <c r="C810" s="2">
        <v>1</v>
      </c>
      <c r="E810" s="2">
        <v>7</v>
      </c>
      <c r="G810" s="2">
        <v>127</v>
      </c>
      <c r="H810" s="17">
        <f t="shared" si="50"/>
        <v>18.142857142857142</v>
      </c>
      <c r="I810" s="2">
        <v>0</v>
      </c>
      <c r="K810" s="18">
        <f t="shared" si="51"/>
        <v>127</v>
      </c>
    </row>
    <row r="811" spans="1:11" ht="12.75">
      <c r="A811" s="14" t="s">
        <v>146</v>
      </c>
      <c r="B811" s="15" t="s">
        <v>20</v>
      </c>
      <c r="C811" s="2">
        <v>1</v>
      </c>
      <c r="E811" s="2">
        <v>6</v>
      </c>
      <c r="G811" s="2">
        <v>125</v>
      </c>
      <c r="H811" s="17">
        <f t="shared" si="50"/>
        <v>20.833333333333332</v>
      </c>
      <c r="I811" s="2">
        <v>2</v>
      </c>
      <c r="K811" s="18">
        <f t="shared" si="51"/>
        <v>125</v>
      </c>
    </row>
    <row r="812" spans="1:11" ht="12.75">
      <c r="A812" s="14" t="s">
        <v>1334</v>
      </c>
      <c r="B812" s="15" t="s">
        <v>1923</v>
      </c>
      <c r="C812" s="2">
        <v>2</v>
      </c>
      <c r="E812" s="2">
        <f>5+8</f>
        <v>13</v>
      </c>
      <c r="G812" s="2">
        <f>49+75</f>
        <v>124</v>
      </c>
      <c r="H812" s="17">
        <f t="shared" si="50"/>
        <v>9.538461538461538</v>
      </c>
      <c r="I812" s="2">
        <f>0+0</f>
        <v>0</v>
      </c>
      <c r="K812" s="18">
        <f t="shared" si="51"/>
        <v>62</v>
      </c>
    </row>
    <row r="813" spans="1:11" ht="12.75">
      <c r="A813" s="14" t="s">
        <v>1131</v>
      </c>
      <c r="B813" s="15" t="s">
        <v>8</v>
      </c>
      <c r="C813" s="2">
        <v>4</v>
      </c>
      <c r="E813" s="2">
        <f>1+2+9+1</f>
        <v>13</v>
      </c>
      <c r="G813" s="2">
        <f>11+17+79+16</f>
        <v>123</v>
      </c>
      <c r="H813" s="17">
        <f t="shared" si="50"/>
        <v>9.461538461538462</v>
      </c>
      <c r="I813" s="2">
        <f>0+0+0+0</f>
        <v>0</v>
      </c>
      <c r="K813" s="18">
        <f t="shared" si="51"/>
        <v>30.75</v>
      </c>
    </row>
    <row r="814" spans="1:11" ht="12.75">
      <c r="A814" s="14" t="s">
        <v>149</v>
      </c>
      <c r="B814" s="15" t="s">
        <v>24</v>
      </c>
      <c r="C814" s="2">
        <v>1</v>
      </c>
      <c r="E814" s="2">
        <v>9</v>
      </c>
      <c r="G814" s="2">
        <v>122</v>
      </c>
      <c r="H814" s="17">
        <f t="shared" si="50"/>
        <v>13.555555555555555</v>
      </c>
      <c r="I814" s="2">
        <v>1</v>
      </c>
      <c r="K814" s="18">
        <f t="shared" si="51"/>
        <v>122</v>
      </c>
    </row>
    <row r="815" spans="1:11" ht="12.75">
      <c r="A815" s="14" t="s">
        <v>135</v>
      </c>
      <c r="B815" s="15" t="s">
        <v>12</v>
      </c>
      <c r="C815" s="2">
        <v>1</v>
      </c>
      <c r="E815" s="2">
        <v>14</v>
      </c>
      <c r="G815" s="2">
        <v>121</v>
      </c>
      <c r="H815" s="17">
        <f t="shared" si="50"/>
        <v>8.642857142857142</v>
      </c>
      <c r="I815" s="2">
        <v>1</v>
      </c>
      <c r="K815" s="18">
        <f t="shared" si="51"/>
        <v>121</v>
      </c>
    </row>
    <row r="816" spans="1:11" ht="12.75">
      <c r="A816" s="14" t="s">
        <v>634</v>
      </c>
      <c r="B816" s="15" t="s">
        <v>632</v>
      </c>
      <c r="C816" s="2">
        <v>1</v>
      </c>
      <c r="E816" s="2">
        <f>15</f>
        <v>15</v>
      </c>
      <c r="G816" s="2">
        <f>121</f>
        <v>121</v>
      </c>
      <c r="H816" s="17">
        <f t="shared" si="50"/>
        <v>8.066666666666666</v>
      </c>
      <c r="I816" s="2">
        <f>0</f>
        <v>0</v>
      </c>
      <c r="K816" s="18">
        <f t="shared" si="51"/>
        <v>121</v>
      </c>
    </row>
    <row r="817" spans="1:11" ht="12.75">
      <c r="A817" s="14" t="s">
        <v>1317</v>
      </c>
      <c r="B817" s="15" t="s">
        <v>1019</v>
      </c>
      <c r="C817" s="2">
        <v>1</v>
      </c>
      <c r="E817" s="2">
        <v>14</v>
      </c>
      <c r="G817" s="2">
        <v>119</v>
      </c>
      <c r="H817" s="17">
        <f t="shared" si="50"/>
        <v>8.5</v>
      </c>
      <c r="I817" s="2">
        <v>1</v>
      </c>
      <c r="K817" s="18">
        <f t="shared" si="51"/>
        <v>119</v>
      </c>
    </row>
    <row r="818" spans="1:11" ht="12.75">
      <c r="A818" s="14" t="s">
        <v>1912</v>
      </c>
      <c r="B818" s="15" t="s">
        <v>1909</v>
      </c>
      <c r="C818" s="2">
        <v>1</v>
      </c>
      <c r="E818" s="2">
        <v>15</v>
      </c>
      <c r="G818" s="2">
        <v>118</v>
      </c>
      <c r="H818" s="17">
        <f t="shared" si="50"/>
        <v>7.866666666666666</v>
      </c>
      <c r="I818" s="2">
        <v>0</v>
      </c>
      <c r="K818" s="18">
        <f t="shared" si="51"/>
        <v>118</v>
      </c>
    </row>
    <row r="819" spans="1:11" ht="12.75">
      <c r="A819" s="14" t="s">
        <v>70</v>
      </c>
      <c r="B819" s="15" t="s">
        <v>69</v>
      </c>
      <c r="C819" s="2">
        <v>1</v>
      </c>
      <c r="E819" s="2">
        <f>9</f>
        <v>9</v>
      </c>
      <c r="G819" s="2">
        <f>117</f>
        <v>117</v>
      </c>
      <c r="H819" s="17">
        <f t="shared" si="50"/>
        <v>13</v>
      </c>
      <c r="I819" s="2">
        <f>1</f>
        <v>1</v>
      </c>
      <c r="K819" s="18">
        <f t="shared" si="51"/>
        <v>117</v>
      </c>
    </row>
    <row r="820" spans="1:11" ht="12.75">
      <c r="A820" s="14" t="s">
        <v>1795</v>
      </c>
      <c r="B820" s="15" t="s">
        <v>1793</v>
      </c>
      <c r="C820" s="2">
        <v>1</v>
      </c>
      <c r="E820" s="2">
        <v>12</v>
      </c>
      <c r="G820" s="2">
        <v>116</v>
      </c>
      <c r="H820" s="17">
        <f t="shared" si="50"/>
        <v>9.666666666666666</v>
      </c>
      <c r="I820" s="2">
        <v>1</v>
      </c>
      <c r="K820" s="18">
        <f t="shared" si="51"/>
        <v>116</v>
      </c>
    </row>
    <row r="821" spans="1:11" ht="12.75">
      <c r="A821" s="14" t="s">
        <v>1256</v>
      </c>
      <c r="B821" s="15" t="s">
        <v>1254</v>
      </c>
      <c r="C821" s="2">
        <v>1</v>
      </c>
      <c r="E821" s="2">
        <f>9</f>
        <v>9</v>
      </c>
      <c r="G821" s="2">
        <f>114</f>
        <v>114</v>
      </c>
      <c r="H821" s="17">
        <f t="shared" si="50"/>
        <v>12.666666666666666</v>
      </c>
      <c r="I821" s="2">
        <f>1</f>
        <v>1</v>
      </c>
      <c r="K821" s="18">
        <f t="shared" si="51"/>
        <v>114</v>
      </c>
    </row>
    <row r="822" spans="1:11" ht="12.75">
      <c r="A822" s="14" t="s">
        <v>979</v>
      </c>
      <c r="B822" s="15" t="s">
        <v>66</v>
      </c>
      <c r="C822" s="2">
        <v>2</v>
      </c>
      <c r="E822" s="2">
        <f>2+5</f>
        <v>7</v>
      </c>
      <c r="G822" s="2">
        <f>24+90</f>
        <v>114</v>
      </c>
      <c r="H822" s="17">
        <f t="shared" si="50"/>
        <v>16.285714285714285</v>
      </c>
      <c r="I822" s="2">
        <f>1+0</f>
        <v>1</v>
      </c>
      <c r="K822" s="18">
        <f t="shared" si="51"/>
        <v>57</v>
      </c>
    </row>
    <row r="823" spans="1:11" ht="12.75">
      <c r="A823" s="14" t="s">
        <v>2020</v>
      </c>
      <c r="B823" s="15" t="s">
        <v>694</v>
      </c>
      <c r="C823" s="2">
        <v>1</v>
      </c>
      <c r="E823" s="2">
        <f>17</f>
        <v>17</v>
      </c>
      <c r="G823" s="2">
        <f>113</f>
        <v>113</v>
      </c>
      <c r="H823" s="17">
        <f t="shared" si="50"/>
        <v>6.647058823529412</v>
      </c>
      <c r="I823" s="2">
        <f>3</f>
        <v>3</v>
      </c>
      <c r="K823" s="18">
        <f t="shared" si="51"/>
        <v>113</v>
      </c>
    </row>
    <row r="824" spans="1:11" ht="12.75">
      <c r="A824" s="14" t="s">
        <v>608</v>
      </c>
      <c r="B824" s="15" t="s">
        <v>83</v>
      </c>
      <c r="C824" s="2">
        <v>2</v>
      </c>
      <c r="E824" s="2">
        <f>3+9</f>
        <v>12</v>
      </c>
      <c r="G824" s="2">
        <f>26+87</f>
        <v>113</v>
      </c>
      <c r="H824" s="17">
        <f t="shared" si="50"/>
        <v>9.416666666666666</v>
      </c>
      <c r="I824" s="2">
        <f>1+0</f>
        <v>1</v>
      </c>
      <c r="K824" s="18">
        <f t="shared" si="51"/>
        <v>56.5</v>
      </c>
    </row>
    <row r="825" spans="1:11" ht="12.75">
      <c r="A825" s="14" t="s">
        <v>1319</v>
      </c>
      <c r="B825" s="15" t="s">
        <v>1045</v>
      </c>
      <c r="C825" s="2">
        <v>1</v>
      </c>
      <c r="E825" s="2">
        <v>11</v>
      </c>
      <c r="G825" s="2">
        <v>108</v>
      </c>
      <c r="H825" s="17">
        <f t="shared" si="50"/>
        <v>9.818181818181818</v>
      </c>
      <c r="I825" s="2">
        <v>2</v>
      </c>
      <c r="K825" s="18">
        <f t="shared" si="51"/>
        <v>108</v>
      </c>
    </row>
    <row r="826" spans="1:11" ht="12.75">
      <c r="A826" s="14" t="s">
        <v>1892</v>
      </c>
      <c r="B826" s="15" t="s">
        <v>473</v>
      </c>
      <c r="C826" s="2">
        <v>3</v>
      </c>
      <c r="E826" s="2">
        <f>6+10+4</f>
        <v>20</v>
      </c>
      <c r="G826" s="2">
        <f>33+56+19</f>
        <v>108</v>
      </c>
      <c r="H826" s="17">
        <f t="shared" si="50"/>
        <v>5.4</v>
      </c>
      <c r="I826" s="2">
        <f>0+0+0</f>
        <v>0</v>
      </c>
      <c r="K826" s="18">
        <f t="shared" si="51"/>
        <v>36</v>
      </c>
    </row>
    <row r="827" spans="1:11" ht="12.75">
      <c r="A827" s="14" t="s">
        <v>1703</v>
      </c>
      <c r="B827" s="15" t="s">
        <v>1704</v>
      </c>
      <c r="C827" s="2">
        <v>1</v>
      </c>
      <c r="E827" s="2">
        <v>12</v>
      </c>
      <c r="G827" s="2">
        <v>104</v>
      </c>
      <c r="H827" s="17">
        <f t="shared" si="50"/>
        <v>8.666666666666666</v>
      </c>
      <c r="I827" s="2">
        <v>0</v>
      </c>
      <c r="K827" s="18">
        <f t="shared" si="51"/>
        <v>104</v>
      </c>
    </row>
    <row r="828" spans="1:11" ht="12.75">
      <c r="A828" s="14" t="s">
        <v>368</v>
      </c>
      <c r="B828" s="15" t="s">
        <v>1570</v>
      </c>
      <c r="C828" s="2">
        <v>3</v>
      </c>
      <c r="E828" s="2">
        <f>1+11+1</f>
        <v>13</v>
      </c>
      <c r="G828" s="2">
        <f>6+83+9</f>
        <v>98</v>
      </c>
      <c r="H828" s="17">
        <f t="shared" si="50"/>
        <v>7.538461538461538</v>
      </c>
      <c r="I828" s="2">
        <f>0+1+1</f>
        <v>2</v>
      </c>
      <c r="K828" s="18">
        <f t="shared" si="51"/>
        <v>32.666666666666664</v>
      </c>
    </row>
    <row r="829" spans="1:11" ht="12.75">
      <c r="A829" s="14" t="s">
        <v>1160</v>
      </c>
      <c r="B829" s="15" t="s">
        <v>510</v>
      </c>
      <c r="C829" s="2">
        <v>4</v>
      </c>
      <c r="E829" s="2">
        <f>1+13+8+2</f>
        <v>24</v>
      </c>
      <c r="G829" s="2">
        <f>2+26+60+8</f>
        <v>96</v>
      </c>
      <c r="H829" s="17">
        <f t="shared" si="50"/>
        <v>4</v>
      </c>
      <c r="I829" s="2">
        <f>0+3+0+0</f>
        <v>3</v>
      </c>
      <c r="K829" s="18">
        <f t="shared" si="51"/>
        <v>24</v>
      </c>
    </row>
    <row r="830" spans="1:11" ht="12.75">
      <c r="A830" s="14" t="s">
        <v>1895</v>
      </c>
      <c r="B830" s="15" t="s">
        <v>1891</v>
      </c>
      <c r="C830" s="2">
        <v>1</v>
      </c>
      <c r="E830" s="2">
        <v>7</v>
      </c>
      <c r="G830" s="2">
        <v>95</v>
      </c>
      <c r="H830" s="17">
        <f t="shared" si="50"/>
        <v>13.571428571428571</v>
      </c>
      <c r="I830" s="2">
        <v>0</v>
      </c>
      <c r="K830" s="18">
        <f t="shared" si="51"/>
        <v>95</v>
      </c>
    </row>
    <row r="831" spans="1:11" ht="12.75">
      <c r="A831" s="14" t="s">
        <v>531</v>
      </c>
      <c r="B831" s="15" t="s">
        <v>639</v>
      </c>
      <c r="C831" s="2">
        <v>2</v>
      </c>
      <c r="E831" s="2">
        <f>4+6</f>
        <v>10</v>
      </c>
      <c r="G831" s="2">
        <f>40+50</f>
        <v>90</v>
      </c>
      <c r="H831" s="17">
        <f t="shared" si="50"/>
        <v>9</v>
      </c>
      <c r="I831" s="2">
        <f>1+0</f>
        <v>1</v>
      </c>
      <c r="K831" s="18">
        <f t="shared" si="51"/>
        <v>45</v>
      </c>
    </row>
    <row r="832" spans="1:11" ht="12.75">
      <c r="A832" s="14" t="s">
        <v>1346</v>
      </c>
      <c r="B832" s="15" t="s">
        <v>838</v>
      </c>
      <c r="C832" s="2">
        <v>2</v>
      </c>
      <c r="E832" s="2">
        <f>4+10</f>
        <v>14</v>
      </c>
      <c r="G832" s="2">
        <f>23+67</f>
        <v>90</v>
      </c>
      <c r="H832" s="17">
        <f t="shared" si="50"/>
        <v>6.428571428571429</v>
      </c>
      <c r="I832" s="2">
        <f>1+0</f>
        <v>1</v>
      </c>
      <c r="K832" s="18">
        <f t="shared" si="51"/>
        <v>45</v>
      </c>
    </row>
    <row r="833" spans="1:11" ht="12.75">
      <c r="A833" s="14" t="s">
        <v>1193</v>
      </c>
      <c r="B833" s="15" t="s">
        <v>1793</v>
      </c>
      <c r="C833" s="2">
        <v>1</v>
      </c>
      <c r="E833" s="2">
        <v>8</v>
      </c>
      <c r="G833" s="2">
        <v>87</v>
      </c>
      <c r="H833" s="17">
        <f t="shared" si="50"/>
        <v>10.875</v>
      </c>
      <c r="I833" s="2">
        <v>0</v>
      </c>
      <c r="K833" s="18">
        <f t="shared" si="51"/>
        <v>87</v>
      </c>
    </row>
    <row r="834" spans="1:11" ht="12.75">
      <c r="A834" s="14" t="s">
        <v>1165</v>
      </c>
      <c r="B834" s="15" t="s">
        <v>1045</v>
      </c>
      <c r="C834" s="2">
        <v>1</v>
      </c>
      <c r="E834" s="2">
        <v>12</v>
      </c>
      <c r="G834" s="2">
        <v>87</v>
      </c>
      <c r="H834" s="17">
        <f t="shared" si="50"/>
        <v>7.25</v>
      </c>
      <c r="I834" s="2">
        <v>0</v>
      </c>
      <c r="K834" s="18">
        <f t="shared" si="51"/>
        <v>87</v>
      </c>
    </row>
    <row r="835" spans="1:11" ht="12.75">
      <c r="A835" s="14" t="s">
        <v>119</v>
      </c>
      <c r="B835" s="15" t="s">
        <v>117</v>
      </c>
      <c r="C835" s="2">
        <v>1</v>
      </c>
      <c r="E835" s="2">
        <v>5</v>
      </c>
      <c r="G835" s="2">
        <v>86</v>
      </c>
      <c r="H835" s="17">
        <f t="shared" si="50"/>
        <v>17.2</v>
      </c>
      <c r="I835" s="2">
        <v>0</v>
      </c>
      <c r="K835" s="18">
        <f t="shared" si="51"/>
        <v>86</v>
      </c>
    </row>
    <row r="836" spans="1:11" ht="12.75">
      <c r="A836" s="14" t="s">
        <v>621</v>
      </c>
      <c r="B836" s="15" t="s">
        <v>564</v>
      </c>
      <c r="C836" s="2">
        <v>2</v>
      </c>
      <c r="E836" s="2">
        <f>10+1</f>
        <v>11</v>
      </c>
      <c r="G836" s="2">
        <f>77+9</f>
        <v>86</v>
      </c>
      <c r="H836" s="17">
        <f t="shared" si="50"/>
        <v>7.818181818181818</v>
      </c>
      <c r="I836" s="2">
        <f>0+0</f>
        <v>0</v>
      </c>
      <c r="K836" s="18">
        <f t="shared" si="51"/>
        <v>43</v>
      </c>
    </row>
    <row r="837" spans="1:11" ht="12.75">
      <c r="A837" s="14" t="s">
        <v>883</v>
      </c>
      <c r="B837" s="15" t="s">
        <v>878</v>
      </c>
      <c r="C837" s="2">
        <v>1</v>
      </c>
      <c r="E837" s="2">
        <f>3</f>
        <v>3</v>
      </c>
      <c r="G837" s="2">
        <f>85</f>
        <v>85</v>
      </c>
      <c r="H837" s="17">
        <f t="shared" si="50"/>
        <v>28.333333333333332</v>
      </c>
      <c r="I837" s="2">
        <f>0</f>
        <v>0</v>
      </c>
      <c r="K837" s="18">
        <f t="shared" si="51"/>
        <v>85</v>
      </c>
    </row>
    <row r="838" spans="1:11" ht="12.75">
      <c r="A838" s="14" t="s">
        <v>1752</v>
      </c>
      <c r="B838" s="15" t="s">
        <v>1753</v>
      </c>
      <c r="C838" s="2">
        <v>1</v>
      </c>
      <c r="E838" s="2">
        <v>5</v>
      </c>
      <c r="G838" s="2">
        <v>82</v>
      </c>
      <c r="H838" s="17">
        <f t="shared" si="50"/>
        <v>16.4</v>
      </c>
      <c r="I838" s="2">
        <v>0</v>
      </c>
      <c r="K838" s="18">
        <f t="shared" si="51"/>
        <v>82</v>
      </c>
    </row>
    <row r="839" spans="1:11" ht="12.75">
      <c r="A839" s="14" t="s">
        <v>25</v>
      </c>
      <c r="B839" s="15" t="s">
        <v>974</v>
      </c>
      <c r="C839" s="2">
        <v>1</v>
      </c>
      <c r="E839" s="2">
        <f>9</f>
        <v>9</v>
      </c>
      <c r="G839" s="2">
        <f>79</f>
        <v>79</v>
      </c>
      <c r="H839" s="17">
        <f t="shared" si="50"/>
        <v>8.777777777777779</v>
      </c>
      <c r="I839" s="2">
        <f>0</f>
        <v>0</v>
      </c>
      <c r="K839" s="18">
        <f t="shared" si="51"/>
        <v>79</v>
      </c>
    </row>
    <row r="840" spans="1:11" ht="12.75">
      <c r="A840" s="14" t="s">
        <v>1901</v>
      </c>
      <c r="B840" s="15" t="s">
        <v>1899</v>
      </c>
      <c r="C840" s="2">
        <v>1</v>
      </c>
      <c r="E840" s="2">
        <v>5</v>
      </c>
      <c r="G840" s="2">
        <v>78</v>
      </c>
      <c r="H840" s="17">
        <f t="shared" si="50"/>
        <v>15.6</v>
      </c>
      <c r="I840" s="2">
        <v>1</v>
      </c>
      <c r="K840" s="18">
        <f t="shared" si="51"/>
        <v>78</v>
      </c>
    </row>
    <row r="841" spans="1:11" ht="12.75">
      <c r="A841" s="14" t="s">
        <v>1325</v>
      </c>
      <c r="B841" s="15" t="s">
        <v>1052</v>
      </c>
      <c r="C841" s="2">
        <v>1</v>
      </c>
      <c r="E841" s="2">
        <v>10</v>
      </c>
      <c r="G841" s="2">
        <v>77</v>
      </c>
      <c r="H841" s="17">
        <f t="shared" si="50"/>
        <v>7.7</v>
      </c>
      <c r="I841" s="2">
        <v>0</v>
      </c>
      <c r="K841" s="18">
        <f t="shared" si="51"/>
        <v>77</v>
      </c>
    </row>
    <row r="842" spans="1:11" ht="12.75">
      <c r="A842" s="14" t="s">
        <v>59</v>
      </c>
      <c r="B842" s="15" t="s">
        <v>54</v>
      </c>
      <c r="C842" s="2">
        <v>1</v>
      </c>
      <c r="E842" s="2">
        <f>11</f>
        <v>11</v>
      </c>
      <c r="G842" s="2">
        <f>76</f>
        <v>76</v>
      </c>
      <c r="H842" s="17">
        <f t="shared" si="50"/>
        <v>6.909090909090909</v>
      </c>
      <c r="I842" s="2">
        <f>3</f>
        <v>3</v>
      </c>
      <c r="K842" s="18">
        <f t="shared" si="51"/>
        <v>76</v>
      </c>
    </row>
    <row r="843" spans="1:11" ht="12.75">
      <c r="A843" s="14" t="s">
        <v>284</v>
      </c>
      <c r="B843" s="15" t="s">
        <v>278</v>
      </c>
      <c r="C843" s="2">
        <v>1</v>
      </c>
      <c r="E843" s="2">
        <f>10</f>
        <v>10</v>
      </c>
      <c r="G843" s="2">
        <f>74</f>
        <v>74</v>
      </c>
      <c r="H843" s="17">
        <f t="shared" si="50"/>
        <v>7.4</v>
      </c>
      <c r="I843" s="2">
        <f>0</f>
        <v>0</v>
      </c>
      <c r="K843" s="18">
        <f t="shared" si="51"/>
        <v>74</v>
      </c>
    </row>
    <row r="844" spans="1:11" ht="12.75">
      <c r="A844" s="14" t="s">
        <v>1543</v>
      </c>
      <c r="B844" s="15" t="s">
        <v>1544</v>
      </c>
      <c r="C844" s="2">
        <v>1</v>
      </c>
      <c r="E844" s="2">
        <f>6</f>
        <v>6</v>
      </c>
      <c r="G844" s="2">
        <f>73</f>
        <v>73</v>
      </c>
      <c r="H844" s="17">
        <f t="shared" si="50"/>
        <v>12.166666666666666</v>
      </c>
      <c r="I844" s="2">
        <f>1</f>
        <v>1</v>
      </c>
      <c r="K844" s="18">
        <f t="shared" si="51"/>
        <v>73</v>
      </c>
    </row>
    <row r="845" spans="1:11" ht="12.75">
      <c r="A845" s="14" t="s">
        <v>955</v>
      </c>
      <c r="B845" s="15" t="s">
        <v>98</v>
      </c>
      <c r="C845" s="2">
        <v>1</v>
      </c>
      <c r="E845" s="2">
        <f>12</f>
        <v>12</v>
      </c>
      <c r="G845" s="2">
        <f>70</f>
        <v>70</v>
      </c>
      <c r="H845" s="17">
        <f t="shared" si="50"/>
        <v>5.833333333333333</v>
      </c>
      <c r="I845" s="2">
        <f>0</f>
        <v>0</v>
      </c>
      <c r="K845" s="18">
        <f t="shared" si="51"/>
        <v>70</v>
      </c>
    </row>
    <row r="846" spans="1:11" ht="12.75">
      <c r="A846" s="14" t="s">
        <v>2031</v>
      </c>
      <c r="B846" s="15" t="s">
        <v>2029</v>
      </c>
      <c r="C846" s="2">
        <v>1</v>
      </c>
      <c r="E846" s="2">
        <v>8</v>
      </c>
      <c r="G846" s="2">
        <v>69</v>
      </c>
      <c r="H846" s="17">
        <f t="shared" si="50"/>
        <v>8.625</v>
      </c>
      <c r="I846" s="2">
        <v>0</v>
      </c>
      <c r="K846" s="18">
        <f t="shared" si="51"/>
        <v>69</v>
      </c>
    </row>
    <row r="847" spans="1:11" ht="12.75">
      <c r="A847" s="14" t="s">
        <v>53</v>
      </c>
      <c r="B847" s="15" t="s">
        <v>54</v>
      </c>
      <c r="C847" s="2">
        <v>1</v>
      </c>
      <c r="E847" s="2">
        <f>9</f>
        <v>9</v>
      </c>
      <c r="G847" s="2">
        <f>67</f>
        <v>67</v>
      </c>
      <c r="H847" s="17">
        <f t="shared" si="50"/>
        <v>7.444444444444445</v>
      </c>
      <c r="I847" s="2">
        <f>0</f>
        <v>0</v>
      </c>
      <c r="K847" s="18">
        <f t="shared" si="51"/>
        <v>67</v>
      </c>
    </row>
    <row r="848" spans="1:11" ht="12.75">
      <c r="A848" s="14" t="s">
        <v>2005</v>
      </c>
      <c r="B848" s="15" t="s">
        <v>239</v>
      </c>
      <c r="C848" s="2">
        <v>2</v>
      </c>
      <c r="E848" s="2">
        <f>6+1</f>
        <v>7</v>
      </c>
      <c r="G848" s="2">
        <f>56+9</f>
        <v>65</v>
      </c>
      <c r="H848" s="17">
        <f t="shared" si="50"/>
        <v>9.285714285714286</v>
      </c>
      <c r="I848" s="2">
        <f>0+0</f>
        <v>0</v>
      </c>
      <c r="K848" s="18">
        <f t="shared" si="51"/>
        <v>32.5</v>
      </c>
    </row>
    <row r="849" spans="1:11" ht="12.75">
      <c r="A849" s="14" t="s">
        <v>1190</v>
      </c>
      <c r="B849" s="15" t="s">
        <v>2027</v>
      </c>
      <c r="C849" s="2">
        <v>2</v>
      </c>
      <c r="E849" s="2">
        <f>1+5</f>
        <v>6</v>
      </c>
      <c r="G849" s="2">
        <f>11+52</f>
        <v>63</v>
      </c>
      <c r="H849" s="17">
        <f t="shared" si="50"/>
        <v>10.5</v>
      </c>
      <c r="I849" s="2">
        <f>0+0</f>
        <v>0</v>
      </c>
      <c r="K849" s="18">
        <f t="shared" si="51"/>
        <v>31.5</v>
      </c>
    </row>
    <row r="850" spans="1:11" ht="12.75">
      <c r="A850" s="14" t="s">
        <v>1331</v>
      </c>
      <c r="B850" s="15" t="s">
        <v>1070</v>
      </c>
      <c r="C850" s="2">
        <v>1</v>
      </c>
      <c r="E850" s="2">
        <v>5</v>
      </c>
      <c r="G850" s="2">
        <v>62</v>
      </c>
      <c r="H850" s="17">
        <f t="shared" si="50"/>
        <v>12.4</v>
      </c>
      <c r="I850" s="2">
        <v>0</v>
      </c>
      <c r="K850" s="18">
        <f t="shared" si="51"/>
        <v>62</v>
      </c>
    </row>
    <row r="851" spans="1:11" ht="12.75">
      <c r="A851" s="14" t="s">
        <v>842</v>
      </c>
      <c r="B851" s="15" t="s">
        <v>919</v>
      </c>
      <c r="C851" s="2">
        <v>2</v>
      </c>
      <c r="E851" s="2">
        <f>1+3</f>
        <v>4</v>
      </c>
      <c r="G851" s="2">
        <f>4+57</f>
        <v>61</v>
      </c>
      <c r="H851" s="17">
        <f t="shared" si="50"/>
        <v>15.25</v>
      </c>
      <c r="I851" s="2">
        <f>0+0</f>
        <v>0</v>
      </c>
      <c r="K851" s="18">
        <f t="shared" si="51"/>
        <v>30.5</v>
      </c>
    </row>
    <row r="852" spans="1:11" ht="12.75">
      <c r="A852" s="14" t="s">
        <v>635</v>
      </c>
      <c r="B852" s="15" t="s">
        <v>632</v>
      </c>
      <c r="C852" s="2">
        <v>1</v>
      </c>
      <c r="E852" s="2">
        <f>5</f>
        <v>5</v>
      </c>
      <c r="G852" s="2">
        <f>60</f>
        <v>60</v>
      </c>
      <c r="H852" s="17">
        <f t="shared" si="50"/>
        <v>12</v>
      </c>
      <c r="I852" s="2">
        <f>1</f>
        <v>1</v>
      </c>
      <c r="K852" s="18">
        <f t="shared" si="51"/>
        <v>60</v>
      </c>
    </row>
    <row r="853" spans="1:11" ht="12.75">
      <c r="A853" s="14" t="s">
        <v>102</v>
      </c>
      <c r="B853" s="15" t="s">
        <v>98</v>
      </c>
      <c r="C853" s="2">
        <v>1</v>
      </c>
      <c r="E853" s="2">
        <f>6</f>
        <v>6</v>
      </c>
      <c r="G853" s="2">
        <f>60</f>
        <v>60</v>
      </c>
      <c r="H853" s="17">
        <f t="shared" si="50"/>
        <v>10</v>
      </c>
      <c r="I853" s="2">
        <f>1</f>
        <v>1</v>
      </c>
      <c r="K853" s="18">
        <f t="shared" si="51"/>
        <v>60</v>
      </c>
    </row>
    <row r="854" spans="1:11" ht="12.75">
      <c r="A854" s="14" t="s">
        <v>818</v>
      </c>
      <c r="B854" s="15" t="s">
        <v>816</v>
      </c>
      <c r="C854" s="2">
        <v>1</v>
      </c>
      <c r="E854" s="2">
        <f>9</f>
        <v>9</v>
      </c>
      <c r="G854" s="2">
        <f>60</f>
        <v>60</v>
      </c>
      <c r="H854" s="17">
        <f t="shared" si="50"/>
        <v>6.666666666666667</v>
      </c>
      <c r="I854" s="2">
        <f>1</f>
        <v>1</v>
      </c>
      <c r="K854" s="18">
        <f t="shared" si="51"/>
        <v>60</v>
      </c>
    </row>
    <row r="855" spans="1:11" ht="12.75">
      <c r="A855" s="14" t="s">
        <v>858</v>
      </c>
      <c r="B855" s="15" t="s">
        <v>859</v>
      </c>
      <c r="C855" s="2">
        <v>1</v>
      </c>
      <c r="E855" s="2">
        <f>8</f>
        <v>8</v>
      </c>
      <c r="G855" s="2">
        <f>58</f>
        <v>58</v>
      </c>
      <c r="H855" s="17">
        <f t="shared" si="50"/>
        <v>7.25</v>
      </c>
      <c r="I855" s="2">
        <f>0</f>
        <v>0</v>
      </c>
      <c r="K855" s="18">
        <f t="shared" si="51"/>
        <v>58</v>
      </c>
    </row>
    <row r="856" spans="1:11" ht="12.75">
      <c r="A856" s="14" t="s">
        <v>1158</v>
      </c>
      <c r="B856" s="15" t="s">
        <v>1840</v>
      </c>
      <c r="C856" s="2">
        <v>2</v>
      </c>
      <c r="E856" s="2">
        <f>4+4</f>
        <v>8</v>
      </c>
      <c r="G856" s="2">
        <f>31+26</f>
        <v>57</v>
      </c>
      <c r="H856" s="17">
        <f t="shared" si="50"/>
        <v>7.125</v>
      </c>
      <c r="I856" s="2">
        <f>0+1</f>
        <v>1</v>
      </c>
      <c r="K856" s="18">
        <f t="shared" si="51"/>
        <v>28.5</v>
      </c>
    </row>
    <row r="857" spans="1:11" ht="12.75">
      <c r="A857" s="14" t="s">
        <v>976</v>
      </c>
      <c r="B857" s="15" t="s">
        <v>974</v>
      </c>
      <c r="C857" s="2">
        <v>1</v>
      </c>
      <c r="E857" s="2">
        <f>7</f>
        <v>7</v>
      </c>
      <c r="G857" s="2">
        <f>56</f>
        <v>56</v>
      </c>
      <c r="H857" s="17">
        <f t="shared" si="50"/>
        <v>8</v>
      </c>
      <c r="I857" s="2">
        <f>0</f>
        <v>0</v>
      </c>
      <c r="K857" s="18">
        <f t="shared" si="51"/>
        <v>56</v>
      </c>
    </row>
    <row r="858" spans="1:11" ht="12.75">
      <c r="A858" s="14" t="s">
        <v>377</v>
      </c>
      <c r="B858" s="15" t="s">
        <v>684</v>
      </c>
      <c r="C858" s="2">
        <v>2</v>
      </c>
      <c r="E858" s="2">
        <f>4+3</f>
        <v>7</v>
      </c>
      <c r="G858" s="2">
        <f>22+33</f>
        <v>55</v>
      </c>
      <c r="H858" s="17">
        <f t="shared" si="50"/>
        <v>7.857142857142857</v>
      </c>
      <c r="I858" s="2">
        <f>0+0</f>
        <v>0</v>
      </c>
      <c r="K858" s="18">
        <f t="shared" si="51"/>
        <v>27.5</v>
      </c>
    </row>
    <row r="859" spans="1:11" ht="12.75">
      <c r="A859" s="14" t="s">
        <v>1559</v>
      </c>
      <c r="B859" s="15" t="s">
        <v>1552</v>
      </c>
      <c r="C859" s="2">
        <v>1</v>
      </c>
      <c r="E859" s="2">
        <f>4</f>
        <v>4</v>
      </c>
      <c r="G859" s="2">
        <f>54</f>
        <v>54</v>
      </c>
      <c r="H859" s="17">
        <f t="shared" si="50"/>
        <v>13.5</v>
      </c>
      <c r="I859" s="2">
        <f>0</f>
        <v>0</v>
      </c>
      <c r="K859" s="18">
        <f t="shared" si="51"/>
        <v>54</v>
      </c>
    </row>
    <row r="860" spans="1:11" ht="12.75">
      <c r="A860" s="14" t="s">
        <v>1736</v>
      </c>
      <c r="B860" s="15" t="s">
        <v>1732</v>
      </c>
      <c r="C860" s="2">
        <v>1</v>
      </c>
      <c r="E860" s="2">
        <v>6</v>
      </c>
      <c r="G860" s="2">
        <v>54</v>
      </c>
      <c r="H860" s="17">
        <f t="shared" si="50"/>
        <v>9</v>
      </c>
      <c r="I860" s="2">
        <v>0</v>
      </c>
      <c r="K860" s="18">
        <f t="shared" si="51"/>
        <v>54</v>
      </c>
    </row>
    <row r="861" spans="1:11" ht="12.75">
      <c r="A861" s="14" t="s">
        <v>285</v>
      </c>
      <c r="B861" s="15" t="s">
        <v>278</v>
      </c>
      <c r="C861" s="2">
        <v>1</v>
      </c>
      <c r="E861" s="2">
        <f>5</f>
        <v>5</v>
      </c>
      <c r="G861" s="2">
        <f>52</f>
        <v>52</v>
      </c>
      <c r="H861" s="17">
        <f t="shared" si="50"/>
        <v>10.4</v>
      </c>
      <c r="I861" s="2">
        <f>0</f>
        <v>0</v>
      </c>
      <c r="K861" s="18">
        <f t="shared" si="51"/>
        <v>52</v>
      </c>
    </row>
    <row r="862" spans="1:11" ht="12.75">
      <c r="A862" s="14" t="s">
        <v>702</v>
      </c>
      <c r="B862" s="15" t="s">
        <v>694</v>
      </c>
      <c r="C862" s="2">
        <v>1</v>
      </c>
      <c r="E862" s="2">
        <f>6</f>
        <v>6</v>
      </c>
      <c r="G862" s="2">
        <f>52</f>
        <v>52</v>
      </c>
      <c r="H862" s="17">
        <f t="shared" si="50"/>
        <v>8.666666666666666</v>
      </c>
      <c r="I862" s="2">
        <f>0</f>
        <v>0</v>
      </c>
      <c r="K862" s="18">
        <f t="shared" si="51"/>
        <v>52</v>
      </c>
    </row>
    <row r="863" spans="1:11" ht="12.75">
      <c r="A863" s="14" t="s">
        <v>1780</v>
      </c>
      <c r="B863" s="15" t="s">
        <v>1973</v>
      </c>
      <c r="C863" s="2">
        <v>2</v>
      </c>
      <c r="E863" s="2">
        <f>4+4</f>
        <v>8</v>
      </c>
      <c r="G863" s="2">
        <f>42+10</f>
        <v>52</v>
      </c>
      <c r="H863" s="17">
        <f t="shared" si="50"/>
        <v>6.5</v>
      </c>
      <c r="I863" s="2">
        <f>2+2</f>
        <v>4</v>
      </c>
      <c r="K863" s="18">
        <f t="shared" si="51"/>
        <v>26</v>
      </c>
    </row>
    <row r="864" spans="1:11" ht="12.75">
      <c r="A864" s="14" t="s">
        <v>1870</v>
      </c>
      <c r="B864" s="15" t="s">
        <v>1865</v>
      </c>
      <c r="C864" s="2">
        <v>1</v>
      </c>
      <c r="E864" s="2">
        <f>2</f>
        <v>2</v>
      </c>
      <c r="G864" s="2">
        <f>51</f>
        <v>51</v>
      </c>
      <c r="H864" s="17">
        <f t="shared" si="50"/>
        <v>25.5</v>
      </c>
      <c r="I864" s="2">
        <f>0</f>
        <v>0</v>
      </c>
      <c r="K864" s="18">
        <f t="shared" si="51"/>
        <v>51</v>
      </c>
    </row>
    <row r="865" spans="1:11" ht="12.75">
      <c r="A865" s="14" t="s">
        <v>18</v>
      </c>
      <c r="B865" s="15" t="s">
        <v>2001</v>
      </c>
      <c r="C865" s="2">
        <v>1</v>
      </c>
      <c r="E865" s="2">
        <v>10</v>
      </c>
      <c r="G865" s="2">
        <v>51</v>
      </c>
      <c r="H865" s="17">
        <f t="shared" si="50"/>
        <v>5.1</v>
      </c>
      <c r="I865" s="2">
        <v>0</v>
      </c>
      <c r="K865" s="18">
        <f t="shared" si="51"/>
        <v>51</v>
      </c>
    </row>
    <row r="866" spans="1:11" ht="12.75">
      <c r="A866" s="14" t="s">
        <v>1195</v>
      </c>
      <c r="B866" s="15" t="s">
        <v>1196</v>
      </c>
      <c r="C866" s="2">
        <v>1</v>
      </c>
      <c r="E866" s="2">
        <v>6</v>
      </c>
      <c r="G866" s="2">
        <v>50</v>
      </c>
      <c r="H866" s="17">
        <f t="shared" si="50"/>
        <v>8.333333333333334</v>
      </c>
      <c r="I866" s="2">
        <v>1</v>
      </c>
      <c r="K866" s="18">
        <f t="shared" si="51"/>
        <v>50</v>
      </c>
    </row>
    <row r="867" spans="1:11" ht="12.75">
      <c r="A867" s="14" t="s">
        <v>918</v>
      </c>
      <c r="B867" s="15" t="s">
        <v>917</v>
      </c>
      <c r="C867" s="2">
        <v>1</v>
      </c>
      <c r="E867" s="2">
        <f>11</f>
        <v>11</v>
      </c>
      <c r="G867" s="2">
        <f>49</f>
        <v>49</v>
      </c>
      <c r="H867" s="17">
        <f t="shared" si="50"/>
        <v>4.454545454545454</v>
      </c>
      <c r="I867" s="2">
        <f>0</f>
        <v>0</v>
      </c>
      <c r="K867" s="18">
        <f t="shared" si="51"/>
        <v>49</v>
      </c>
    </row>
    <row r="868" spans="1:11" ht="12.75">
      <c r="A868" s="14" t="s">
        <v>1127</v>
      </c>
      <c r="B868" s="15" t="s">
        <v>1840</v>
      </c>
      <c r="C868" s="2">
        <v>2</v>
      </c>
      <c r="E868" s="2">
        <f>6+1</f>
        <v>7</v>
      </c>
      <c r="G868" s="2">
        <f>45+4</f>
        <v>49</v>
      </c>
      <c r="H868" s="17">
        <f t="shared" si="50"/>
        <v>7</v>
      </c>
      <c r="I868" s="2">
        <f>0+0</f>
        <v>0</v>
      </c>
      <c r="K868" s="18">
        <f t="shared" si="51"/>
        <v>24.5</v>
      </c>
    </row>
    <row r="869" spans="1:11" ht="12.75">
      <c r="A869" s="14" t="s">
        <v>1353</v>
      </c>
      <c r="B869" s="15" t="s">
        <v>1913</v>
      </c>
      <c r="C869" s="2">
        <v>2</v>
      </c>
      <c r="E869" s="2">
        <f>2+5</f>
        <v>7</v>
      </c>
      <c r="G869" s="2">
        <f>10+38</f>
        <v>48</v>
      </c>
      <c r="H869" s="17">
        <f aca="true" t="shared" si="52" ref="H869:H932">G869/E869</f>
        <v>6.857142857142857</v>
      </c>
      <c r="I869" s="2">
        <f>2+2</f>
        <v>4</v>
      </c>
      <c r="K869" s="18">
        <f aca="true" t="shared" si="53" ref="K869:K932">IF(C869=0,0,G869/C869)</f>
        <v>24</v>
      </c>
    </row>
    <row r="870" spans="1:11" ht="12.75">
      <c r="A870" s="14" t="s">
        <v>372</v>
      </c>
      <c r="B870" s="15" t="s">
        <v>365</v>
      </c>
      <c r="C870" s="2">
        <v>1</v>
      </c>
      <c r="E870" s="2">
        <v>3</v>
      </c>
      <c r="G870" s="2">
        <v>47</v>
      </c>
      <c r="H870" s="17">
        <f t="shared" si="52"/>
        <v>15.666666666666666</v>
      </c>
      <c r="I870" s="2">
        <v>0</v>
      </c>
      <c r="K870" s="18">
        <f t="shared" si="53"/>
        <v>47</v>
      </c>
    </row>
    <row r="871" spans="1:11" ht="12.75">
      <c r="A871" s="14" t="s">
        <v>1335</v>
      </c>
      <c r="B871" s="15" t="s">
        <v>1045</v>
      </c>
      <c r="C871" s="2">
        <v>1</v>
      </c>
      <c r="E871" s="2">
        <v>5</v>
      </c>
      <c r="G871" s="2">
        <v>47</v>
      </c>
      <c r="H871" s="17">
        <f t="shared" si="52"/>
        <v>9.4</v>
      </c>
      <c r="I871" s="2">
        <v>0</v>
      </c>
      <c r="K871" s="18">
        <f t="shared" si="53"/>
        <v>47</v>
      </c>
    </row>
    <row r="872" spans="1:11" ht="12.75">
      <c r="A872" s="14" t="s">
        <v>1336</v>
      </c>
      <c r="B872" s="15" t="s">
        <v>1840</v>
      </c>
      <c r="C872" s="2">
        <v>2</v>
      </c>
      <c r="E872" s="2">
        <f>3+1</f>
        <v>4</v>
      </c>
      <c r="G872" s="2">
        <f>41+6</f>
        <v>47</v>
      </c>
      <c r="H872" s="17">
        <f t="shared" si="52"/>
        <v>11.75</v>
      </c>
      <c r="I872" s="2">
        <f>0+1</f>
        <v>1</v>
      </c>
      <c r="K872" s="18">
        <f t="shared" si="53"/>
        <v>23.5</v>
      </c>
    </row>
    <row r="873" spans="1:11" ht="12.75">
      <c r="A873" s="14" t="s">
        <v>1143</v>
      </c>
      <c r="B873" s="15" t="s">
        <v>1019</v>
      </c>
      <c r="C873" s="2">
        <v>1</v>
      </c>
      <c r="E873" s="2">
        <v>6</v>
      </c>
      <c r="G873" s="2">
        <v>46</v>
      </c>
      <c r="H873" s="17">
        <f t="shared" si="52"/>
        <v>7.666666666666667</v>
      </c>
      <c r="I873" s="2">
        <v>1</v>
      </c>
      <c r="K873" s="18">
        <f t="shared" si="53"/>
        <v>46</v>
      </c>
    </row>
    <row r="874" spans="1:11" ht="12.75">
      <c r="A874" s="14" t="s">
        <v>1339</v>
      </c>
      <c r="B874" s="15" t="s">
        <v>1184</v>
      </c>
      <c r="C874" s="2">
        <v>2</v>
      </c>
      <c r="E874" s="2">
        <f>1+1</f>
        <v>2</v>
      </c>
      <c r="G874" s="2">
        <f>11+33</f>
        <v>44</v>
      </c>
      <c r="H874" s="17">
        <f t="shared" si="52"/>
        <v>22</v>
      </c>
      <c r="I874" s="2">
        <f>0+0</f>
        <v>0</v>
      </c>
      <c r="K874" s="18">
        <f t="shared" si="53"/>
        <v>22</v>
      </c>
    </row>
    <row r="875" spans="1:11" ht="12.75">
      <c r="A875" s="14" t="s">
        <v>1806</v>
      </c>
      <c r="B875" s="15" t="s">
        <v>1803</v>
      </c>
      <c r="C875" s="2">
        <v>1</v>
      </c>
      <c r="E875" s="2">
        <v>6</v>
      </c>
      <c r="G875" s="2">
        <v>41</v>
      </c>
      <c r="H875" s="17">
        <f t="shared" si="52"/>
        <v>6.833333333333333</v>
      </c>
      <c r="I875" s="2">
        <v>0</v>
      </c>
      <c r="K875" s="18">
        <f t="shared" si="53"/>
        <v>41</v>
      </c>
    </row>
    <row r="876" spans="1:11" ht="12.75">
      <c r="A876" s="14" t="s">
        <v>1337</v>
      </c>
      <c r="B876" s="15" t="s">
        <v>1015</v>
      </c>
      <c r="C876" s="2">
        <v>1</v>
      </c>
      <c r="E876" s="2">
        <v>2</v>
      </c>
      <c r="G876" s="2">
        <v>39</v>
      </c>
      <c r="H876" s="17">
        <f t="shared" si="52"/>
        <v>19.5</v>
      </c>
      <c r="I876" s="2">
        <v>0</v>
      </c>
      <c r="K876" s="18">
        <f t="shared" si="53"/>
        <v>39</v>
      </c>
    </row>
    <row r="877" spans="1:11" ht="12.75">
      <c r="A877" s="14" t="s">
        <v>1361</v>
      </c>
      <c r="B877" s="15" t="s">
        <v>1913</v>
      </c>
      <c r="C877" s="2">
        <v>2</v>
      </c>
      <c r="E877" s="2">
        <f>1+3</f>
        <v>4</v>
      </c>
      <c r="G877" s="2">
        <f>2+37</f>
        <v>39</v>
      </c>
      <c r="H877" s="17">
        <f t="shared" si="52"/>
        <v>9.75</v>
      </c>
      <c r="I877" s="2">
        <f>0+0</f>
        <v>0</v>
      </c>
      <c r="K877" s="18">
        <f t="shared" si="53"/>
        <v>19.5</v>
      </c>
    </row>
    <row r="878" spans="1:11" ht="12.75">
      <c r="A878" s="14" t="s">
        <v>607</v>
      </c>
      <c r="B878" s="15" t="s">
        <v>83</v>
      </c>
      <c r="C878" s="2">
        <v>2</v>
      </c>
      <c r="E878" s="2">
        <f>1+5</f>
        <v>6</v>
      </c>
      <c r="G878" s="2">
        <f>5+34</f>
        <v>39</v>
      </c>
      <c r="H878" s="17">
        <f t="shared" si="52"/>
        <v>6.5</v>
      </c>
      <c r="I878" s="2">
        <f>0+0</f>
        <v>0</v>
      </c>
      <c r="K878" s="18">
        <f t="shared" si="53"/>
        <v>19.5</v>
      </c>
    </row>
    <row r="879" spans="1:11" ht="12.75">
      <c r="A879" s="14" t="s">
        <v>819</v>
      </c>
      <c r="B879" s="15" t="s">
        <v>816</v>
      </c>
      <c r="C879" s="2">
        <v>1</v>
      </c>
      <c r="E879" s="2">
        <f>2</f>
        <v>2</v>
      </c>
      <c r="G879" s="2">
        <f>37</f>
        <v>37</v>
      </c>
      <c r="H879" s="17">
        <f t="shared" si="52"/>
        <v>18.5</v>
      </c>
      <c r="I879" s="2">
        <f>0</f>
        <v>0</v>
      </c>
      <c r="K879" s="18">
        <f t="shared" si="53"/>
        <v>37</v>
      </c>
    </row>
    <row r="880" spans="1:11" ht="12.75">
      <c r="A880" s="14" t="s">
        <v>1161</v>
      </c>
      <c r="B880" s="15" t="s">
        <v>1070</v>
      </c>
      <c r="C880" s="2">
        <v>1</v>
      </c>
      <c r="E880" s="2">
        <v>5</v>
      </c>
      <c r="G880" s="2">
        <v>36</v>
      </c>
      <c r="H880" s="17">
        <f t="shared" si="52"/>
        <v>7.2</v>
      </c>
      <c r="I880" s="2">
        <v>0</v>
      </c>
      <c r="K880" s="18">
        <f t="shared" si="53"/>
        <v>36</v>
      </c>
    </row>
    <row r="881" spans="1:11" ht="12.75">
      <c r="A881" s="14" t="s">
        <v>136</v>
      </c>
      <c r="B881" s="15" t="s">
        <v>12</v>
      </c>
      <c r="C881" s="2">
        <v>1</v>
      </c>
      <c r="E881" s="2">
        <v>4</v>
      </c>
      <c r="G881" s="2">
        <v>35</v>
      </c>
      <c r="H881" s="17">
        <f t="shared" si="52"/>
        <v>8.75</v>
      </c>
      <c r="I881" s="2">
        <v>0</v>
      </c>
      <c r="K881" s="18">
        <f t="shared" si="53"/>
        <v>35</v>
      </c>
    </row>
    <row r="882" spans="1:11" ht="12.75">
      <c r="A882" s="14" t="s">
        <v>450</v>
      </c>
      <c r="B882" s="15" t="s">
        <v>448</v>
      </c>
      <c r="C882" s="2">
        <v>1</v>
      </c>
      <c r="E882" s="2">
        <f>4</f>
        <v>4</v>
      </c>
      <c r="G882" s="2">
        <f>34</f>
        <v>34</v>
      </c>
      <c r="H882" s="17">
        <f t="shared" si="52"/>
        <v>8.5</v>
      </c>
      <c r="I882" s="2">
        <f>2</f>
        <v>2</v>
      </c>
      <c r="K882" s="18">
        <f t="shared" si="53"/>
        <v>34</v>
      </c>
    </row>
    <row r="883" spans="1:11" ht="12.75">
      <c r="A883" s="14" t="s">
        <v>1338</v>
      </c>
      <c r="B883" s="15" t="s">
        <v>1064</v>
      </c>
      <c r="C883" s="2">
        <v>1</v>
      </c>
      <c r="E883" s="2">
        <v>1</v>
      </c>
      <c r="G883" s="2">
        <v>33</v>
      </c>
      <c r="H883" s="17">
        <f t="shared" si="52"/>
        <v>33</v>
      </c>
      <c r="I883" s="2">
        <v>0</v>
      </c>
      <c r="K883" s="18">
        <f t="shared" si="53"/>
        <v>33</v>
      </c>
    </row>
    <row r="884" spans="1:11" ht="12.75">
      <c r="A884" s="14" t="s">
        <v>1340</v>
      </c>
      <c r="B884" s="15" t="s">
        <v>1085</v>
      </c>
      <c r="C884" s="2">
        <v>1</v>
      </c>
      <c r="E884" s="2">
        <v>4</v>
      </c>
      <c r="G884" s="2">
        <v>32</v>
      </c>
      <c r="H884" s="17">
        <f t="shared" si="52"/>
        <v>8</v>
      </c>
      <c r="I884" s="2">
        <v>0</v>
      </c>
      <c r="K884" s="18">
        <f t="shared" si="53"/>
        <v>32</v>
      </c>
    </row>
    <row r="885" spans="1:11" ht="12.75">
      <c r="A885" s="14" t="s">
        <v>1144</v>
      </c>
      <c r="B885" s="15" t="s">
        <v>374</v>
      </c>
      <c r="C885" s="2">
        <v>3</v>
      </c>
      <c r="E885" s="2">
        <f>1+1+1</f>
        <v>3</v>
      </c>
      <c r="G885" s="2">
        <f>9+12+10</f>
        <v>31</v>
      </c>
      <c r="H885" s="17">
        <f t="shared" si="52"/>
        <v>10.333333333333334</v>
      </c>
      <c r="I885" s="2">
        <f>0+0+0</f>
        <v>0</v>
      </c>
      <c r="K885" s="18">
        <f t="shared" si="53"/>
        <v>10.333333333333334</v>
      </c>
    </row>
    <row r="886" spans="1:11" ht="12.75">
      <c r="A886" s="14" t="s">
        <v>2</v>
      </c>
      <c r="B886" s="15" t="s">
        <v>1980</v>
      </c>
      <c r="C886" s="2">
        <v>1</v>
      </c>
      <c r="E886" s="2">
        <v>4</v>
      </c>
      <c r="G886" s="2">
        <v>28</v>
      </c>
      <c r="H886" s="17">
        <f t="shared" si="52"/>
        <v>7</v>
      </c>
      <c r="I886" s="2">
        <v>0</v>
      </c>
      <c r="K886" s="18">
        <f t="shared" si="53"/>
        <v>28</v>
      </c>
    </row>
    <row r="887" spans="1:11" ht="12.75">
      <c r="A887" s="14" t="s">
        <v>3</v>
      </c>
      <c r="B887" s="15" t="s">
        <v>1980</v>
      </c>
      <c r="C887" s="2">
        <v>1</v>
      </c>
      <c r="E887" s="2">
        <v>4</v>
      </c>
      <c r="G887" s="2">
        <v>28</v>
      </c>
      <c r="H887" s="17">
        <f t="shared" si="52"/>
        <v>7</v>
      </c>
      <c r="I887" s="2">
        <v>0</v>
      </c>
      <c r="K887" s="18">
        <f t="shared" si="53"/>
        <v>28</v>
      </c>
    </row>
    <row r="888" spans="1:11" ht="12.75">
      <c r="A888" s="14" t="s">
        <v>828</v>
      </c>
      <c r="B888" s="15" t="s">
        <v>827</v>
      </c>
      <c r="C888" s="2">
        <v>1</v>
      </c>
      <c r="E888" s="2">
        <f>5</f>
        <v>5</v>
      </c>
      <c r="G888" s="2">
        <f>28</f>
        <v>28</v>
      </c>
      <c r="H888" s="17">
        <f t="shared" si="52"/>
        <v>5.6</v>
      </c>
      <c r="I888" s="2">
        <f>0</f>
        <v>0</v>
      </c>
      <c r="K888" s="18">
        <f t="shared" si="53"/>
        <v>28</v>
      </c>
    </row>
    <row r="889" spans="1:11" ht="12.75">
      <c r="A889" s="14" t="s">
        <v>1344</v>
      </c>
      <c r="B889" s="15" t="s">
        <v>1751</v>
      </c>
      <c r="C889" s="2">
        <v>2</v>
      </c>
      <c r="E889" s="2">
        <f>4+1</f>
        <v>5</v>
      </c>
      <c r="G889" s="2">
        <f>24+4</f>
        <v>28</v>
      </c>
      <c r="H889" s="17">
        <f t="shared" si="52"/>
        <v>5.6</v>
      </c>
      <c r="I889" s="2">
        <f>0+1</f>
        <v>1</v>
      </c>
      <c r="K889" s="18">
        <f t="shared" si="53"/>
        <v>14</v>
      </c>
    </row>
    <row r="890" spans="1:11" ht="12.75">
      <c r="A890" s="14" t="s">
        <v>729</v>
      </c>
      <c r="B890" s="15" t="s">
        <v>727</v>
      </c>
      <c r="C890" s="2">
        <v>1</v>
      </c>
      <c r="E890" s="2">
        <f>4</f>
        <v>4</v>
      </c>
      <c r="G890" s="2">
        <f>27</f>
        <v>27</v>
      </c>
      <c r="H890" s="17">
        <f t="shared" si="52"/>
        <v>6.75</v>
      </c>
      <c r="I890" s="2">
        <f>2</f>
        <v>2</v>
      </c>
      <c r="K890" s="18">
        <f t="shared" si="53"/>
        <v>27</v>
      </c>
    </row>
    <row r="891" spans="1:11" ht="12.75">
      <c r="A891" s="14" t="s">
        <v>1126</v>
      </c>
      <c r="B891" s="15" t="s">
        <v>1052</v>
      </c>
      <c r="C891" s="2">
        <v>1</v>
      </c>
      <c r="E891" s="2">
        <v>2</v>
      </c>
      <c r="G891" s="2">
        <v>26</v>
      </c>
      <c r="H891" s="17">
        <f t="shared" si="52"/>
        <v>13</v>
      </c>
      <c r="I891" s="2">
        <v>0</v>
      </c>
      <c r="K891" s="18">
        <f t="shared" si="53"/>
        <v>26</v>
      </c>
    </row>
    <row r="892" spans="1:11" ht="12.75">
      <c r="A892" s="14" t="s">
        <v>4</v>
      </c>
      <c r="B892" s="15" t="s">
        <v>1983</v>
      </c>
      <c r="C892" s="2">
        <v>1</v>
      </c>
      <c r="E892" s="2">
        <v>2</v>
      </c>
      <c r="G892" s="2">
        <v>26</v>
      </c>
      <c r="H892" s="17">
        <f t="shared" si="52"/>
        <v>13</v>
      </c>
      <c r="I892" s="2">
        <v>0</v>
      </c>
      <c r="K892" s="18">
        <f t="shared" si="53"/>
        <v>26</v>
      </c>
    </row>
    <row r="893" spans="1:11" ht="12.75">
      <c r="A893" s="14" t="s">
        <v>1379</v>
      </c>
      <c r="B893" s="15" t="s">
        <v>1197</v>
      </c>
      <c r="C893" s="2">
        <v>1</v>
      </c>
      <c r="E893" s="2">
        <v>1</v>
      </c>
      <c r="G893" s="2">
        <v>25</v>
      </c>
      <c r="H893" s="17">
        <f t="shared" si="52"/>
        <v>25</v>
      </c>
      <c r="I893" s="2">
        <v>0</v>
      </c>
      <c r="K893" s="18">
        <f t="shared" si="53"/>
        <v>25</v>
      </c>
    </row>
    <row r="894" spans="1:11" ht="12.75">
      <c r="A894" s="14" t="s">
        <v>89</v>
      </c>
      <c r="B894" s="15" t="s">
        <v>82</v>
      </c>
      <c r="C894" s="2">
        <v>1</v>
      </c>
      <c r="E894" s="2">
        <f>2</f>
        <v>2</v>
      </c>
      <c r="G894" s="2">
        <f>23</f>
        <v>23</v>
      </c>
      <c r="H894" s="17">
        <f t="shared" si="52"/>
        <v>11.5</v>
      </c>
      <c r="I894" s="2">
        <f>0</f>
        <v>0</v>
      </c>
      <c r="K894" s="18">
        <f t="shared" si="53"/>
        <v>23</v>
      </c>
    </row>
    <row r="895" spans="1:11" ht="12.75">
      <c r="A895" s="14" t="s">
        <v>1117</v>
      </c>
      <c r="B895" s="15" t="s">
        <v>1183</v>
      </c>
      <c r="C895" s="2">
        <v>1</v>
      </c>
      <c r="E895" s="2">
        <v>2</v>
      </c>
      <c r="G895" s="2">
        <v>22</v>
      </c>
      <c r="H895" s="17">
        <f t="shared" si="52"/>
        <v>11</v>
      </c>
      <c r="I895" s="2">
        <v>0</v>
      </c>
      <c r="K895" s="18">
        <f t="shared" si="53"/>
        <v>22</v>
      </c>
    </row>
    <row r="896" spans="1:11" ht="12.75">
      <c r="A896" s="14" t="s">
        <v>126</v>
      </c>
      <c r="B896" s="15" t="s">
        <v>1980</v>
      </c>
      <c r="C896" s="2">
        <v>1</v>
      </c>
      <c r="E896" s="2">
        <v>2</v>
      </c>
      <c r="G896" s="2">
        <v>22</v>
      </c>
      <c r="H896" s="17">
        <f t="shared" si="52"/>
        <v>11</v>
      </c>
      <c r="I896" s="2">
        <v>0</v>
      </c>
      <c r="K896" s="18">
        <f t="shared" si="53"/>
        <v>22</v>
      </c>
    </row>
    <row r="897" spans="1:11" ht="12.75">
      <c r="A897" s="14" t="s">
        <v>1153</v>
      </c>
      <c r="B897" s="15" t="s">
        <v>117</v>
      </c>
      <c r="C897" s="2">
        <v>1</v>
      </c>
      <c r="E897" s="2">
        <v>2</v>
      </c>
      <c r="G897" s="2">
        <v>21</v>
      </c>
      <c r="H897" s="17">
        <f t="shared" si="52"/>
        <v>10.5</v>
      </c>
      <c r="I897" s="2">
        <v>0</v>
      </c>
      <c r="K897" s="18">
        <f t="shared" si="53"/>
        <v>21</v>
      </c>
    </row>
    <row r="898" spans="1:11" ht="12.75">
      <c r="A898" s="14" t="s">
        <v>1869</v>
      </c>
      <c r="B898" s="15" t="s">
        <v>1865</v>
      </c>
      <c r="C898" s="2">
        <v>1</v>
      </c>
      <c r="E898" s="2">
        <f>3</f>
        <v>3</v>
      </c>
      <c r="G898" s="2">
        <f>21</f>
        <v>21</v>
      </c>
      <c r="H898" s="17">
        <f t="shared" si="52"/>
        <v>7</v>
      </c>
      <c r="I898" s="2">
        <f>0</f>
        <v>0</v>
      </c>
      <c r="K898" s="18">
        <f t="shared" si="53"/>
        <v>21</v>
      </c>
    </row>
    <row r="899" spans="1:11" ht="12.75">
      <c r="A899" s="14" t="s">
        <v>1545</v>
      </c>
      <c r="B899" s="15" t="s">
        <v>1544</v>
      </c>
      <c r="C899" s="2">
        <v>1</v>
      </c>
      <c r="E899" s="2">
        <f>1</f>
        <v>1</v>
      </c>
      <c r="G899" s="2">
        <f>20</f>
        <v>20</v>
      </c>
      <c r="H899" s="17">
        <f t="shared" si="52"/>
        <v>20</v>
      </c>
      <c r="I899" s="2">
        <f>0</f>
        <v>0</v>
      </c>
      <c r="K899" s="18">
        <f t="shared" si="53"/>
        <v>20</v>
      </c>
    </row>
    <row r="900" spans="1:11" ht="12.75">
      <c r="A900" s="14" t="s">
        <v>1788</v>
      </c>
      <c r="B900" s="15" t="s">
        <v>1786</v>
      </c>
      <c r="C900" s="2">
        <v>1</v>
      </c>
      <c r="E900" s="2">
        <v>2</v>
      </c>
      <c r="G900" s="2">
        <v>20</v>
      </c>
      <c r="H900" s="17">
        <f t="shared" si="52"/>
        <v>10</v>
      </c>
      <c r="I900" s="2">
        <v>0</v>
      </c>
      <c r="K900" s="18">
        <f t="shared" si="53"/>
        <v>20</v>
      </c>
    </row>
    <row r="901" spans="1:11" ht="12.75">
      <c r="A901" s="14" t="s">
        <v>471</v>
      </c>
      <c r="B901" s="15" t="s">
        <v>472</v>
      </c>
      <c r="C901" s="2">
        <v>1</v>
      </c>
      <c r="E901" s="2">
        <v>2</v>
      </c>
      <c r="G901" s="2">
        <v>20</v>
      </c>
      <c r="H901" s="17">
        <f t="shared" si="52"/>
        <v>10</v>
      </c>
      <c r="I901" s="2">
        <v>0</v>
      </c>
      <c r="K901" s="18">
        <f t="shared" si="53"/>
        <v>20</v>
      </c>
    </row>
    <row r="902" spans="1:11" ht="12.75">
      <c r="A902" s="14" t="s">
        <v>121</v>
      </c>
      <c r="B902" s="15" t="s">
        <v>2029</v>
      </c>
      <c r="C902" s="2">
        <v>1</v>
      </c>
      <c r="E902" s="2">
        <v>4</v>
      </c>
      <c r="G902" s="2">
        <v>20</v>
      </c>
      <c r="H902" s="17">
        <f t="shared" si="52"/>
        <v>5</v>
      </c>
      <c r="I902" s="2">
        <v>1</v>
      </c>
      <c r="K902" s="18">
        <f t="shared" si="53"/>
        <v>20</v>
      </c>
    </row>
    <row r="903" spans="1:11" ht="12.75">
      <c r="A903" s="14" t="s">
        <v>1170</v>
      </c>
      <c r="B903" s="15" t="s">
        <v>128</v>
      </c>
      <c r="C903" s="2">
        <v>2</v>
      </c>
      <c r="E903" s="2">
        <f>1+3</f>
        <v>4</v>
      </c>
      <c r="G903" s="2">
        <f>6+14</f>
        <v>20</v>
      </c>
      <c r="H903" s="17">
        <f t="shared" si="52"/>
        <v>5</v>
      </c>
      <c r="I903" s="2">
        <f>0+0</f>
        <v>0</v>
      </c>
      <c r="K903" s="18">
        <f t="shared" si="53"/>
        <v>10</v>
      </c>
    </row>
    <row r="904" spans="1:11" ht="12.75">
      <c r="A904" s="14" t="s">
        <v>1720</v>
      </c>
      <c r="B904" s="15" t="s">
        <v>1719</v>
      </c>
      <c r="C904" s="2">
        <v>1</v>
      </c>
      <c r="E904" s="2">
        <v>2</v>
      </c>
      <c r="G904" s="2">
        <v>19</v>
      </c>
      <c r="H904" s="17">
        <f t="shared" si="52"/>
        <v>9.5</v>
      </c>
      <c r="I904" s="2">
        <v>0</v>
      </c>
      <c r="K904" s="18">
        <f t="shared" si="53"/>
        <v>19</v>
      </c>
    </row>
    <row r="905" spans="1:11" ht="12.75">
      <c r="A905" s="14" t="s">
        <v>1744</v>
      </c>
      <c r="B905" s="15" t="s">
        <v>1743</v>
      </c>
      <c r="C905" s="2">
        <v>1</v>
      </c>
      <c r="E905" s="2">
        <v>2</v>
      </c>
      <c r="G905" s="2">
        <v>19</v>
      </c>
      <c r="H905" s="17">
        <f t="shared" si="52"/>
        <v>9.5</v>
      </c>
      <c r="I905" s="2">
        <v>0</v>
      </c>
      <c r="K905" s="18">
        <f t="shared" si="53"/>
        <v>19</v>
      </c>
    </row>
    <row r="906" spans="1:11" ht="12.75">
      <c r="A906" s="14" t="s">
        <v>949</v>
      </c>
      <c r="B906" s="15" t="s">
        <v>950</v>
      </c>
      <c r="C906" s="2">
        <v>1</v>
      </c>
      <c r="E906" s="2">
        <f>2</f>
        <v>2</v>
      </c>
      <c r="G906" s="2">
        <f>19</f>
        <v>19</v>
      </c>
      <c r="H906" s="17">
        <f t="shared" si="52"/>
        <v>9.5</v>
      </c>
      <c r="I906" s="2">
        <f>0</f>
        <v>0</v>
      </c>
      <c r="K906" s="18">
        <f t="shared" si="53"/>
        <v>19</v>
      </c>
    </row>
    <row r="907" spans="1:11" ht="12.75">
      <c r="A907" s="14" t="s">
        <v>605</v>
      </c>
      <c r="B907" s="15" t="s">
        <v>606</v>
      </c>
      <c r="C907" s="2">
        <v>1</v>
      </c>
      <c r="E907" s="2">
        <f>3</f>
        <v>3</v>
      </c>
      <c r="G907" s="2">
        <f>19</f>
        <v>19</v>
      </c>
      <c r="H907" s="17">
        <f t="shared" si="52"/>
        <v>6.333333333333333</v>
      </c>
      <c r="I907" s="2">
        <f>0</f>
        <v>0</v>
      </c>
      <c r="K907" s="18">
        <f t="shared" si="53"/>
        <v>19</v>
      </c>
    </row>
    <row r="908" spans="1:11" ht="12.75">
      <c r="A908" s="14" t="s">
        <v>141</v>
      </c>
      <c r="B908" s="15" t="s">
        <v>140</v>
      </c>
      <c r="C908" s="2">
        <v>1</v>
      </c>
      <c r="E908" s="2">
        <v>2</v>
      </c>
      <c r="G908" s="2">
        <v>18</v>
      </c>
      <c r="H908" s="17">
        <f t="shared" si="52"/>
        <v>9</v>
      </c>
      <c r="I908" s="2">
        <v>0</v>
      </c>
      <c r="K908" s="18">
        <f t="shared" si="53"/>
        <v>18</v>
      </c>
    </row>
    <row r="909" spans="1:11" ht="12.75">
      <c r="A909" s="14" t="s">
        <v>1355</v>
      </c>
      <c r="B909" s="15" t="s">
        <v>488</v>
      </c>
      <c r="C909" s="2">
        <v>2</v>
      </c>
      <c r="E909" s="2">
        <f>1+2</f>
        <v>3</v>
      </c>
      <c r="G909" s="2">
        <f>8+10</f>
        <v>18</v>
      </c>
      <c r="H909" s="17">
        <f t="shared" si="52"/>
        <v>6</v>
      </c>
      <c r="I909" s="2">
        <f>1+0</f>
        <v>1</v>
      </c>
      <c r="K909" s="18">
        <f t="shared" si="53"/>
        <v>9</v>
      </c>
    </row>
    <row r="910" spans="1:11" ht="12.75">
      <c r="A910" s="14" t="s">
        <v>728</v>
      </c>
      <c r="B910" s="15" t="s">
        <v>727</v>
      </c>
      <c r="C910" s="2">
        <v>1</v>
      </c>
      <c r="E910" s="2">
        <f>1</f>
        <v>1</v>
      </c>
      <c r="G910" s="2">
        <f>17</f>
        <v>17</v>
      </c>
      <c r="H910" s="17">
        <f t="shared" si="52"/>
        <v>17</v>
      </c>
      <c r="I910" s="2">
        <f>0</f>
        <v>0</v>
      </c>
      <c r="K910" s="18">
        <f t="shared" si="53"/>
        <v>17</v>
      </c>
    </row>
    <row r="911" spans="1:11" ht="12.75">
      <c r="A911" s="14" t="s">
        <v>1348</v>
      </c>
      <c r="B911" s="15" t="s">
        <v>1061</v>
      </c>
      <c r="C911" s="2">
        <v>1</v>
      </c>
      <c r="E911" s="2">
        <v>2</v>
      </c>
      <c r="G911" s="2">
        <v>16</v>
      </c>
      <c r="H911" s="17">
        <f t="shared" si="52"/>
        <v>8</v>
      </c>
      <c r="I911" s="2">
        <v>1</v>
      </c>
      <c r="K911" s="18">
        <f t="shared" si="53"/>
        <v>16</v>
      </c>
    </row>
    <row r="912" spans="1:11" ht="12.75">
      <c r="A912" s="14" t="s">
        <v>144</v>
      </c>
      <c r="B912" s="15" t="s">
        <v>2001</v>
      </c>
      <c r="C912" s="2">
        <v>1</v>
      </c>
      <c r="E912" s="2">
        <v>2</v>
      </c>
      <c r="G912" s="2">
        <v>16</v>
      </c>
      <c r="H912" s="17">
        <f t="shared" si="52"/>
        <v>8</v>
      </c>
      <c r="I912" s="2">
        <v>0</v>
      </c>
      <c r="K912" s="18">
        <f t="shared" si="53"/>
        <v>16</v>
      </c>
    </row>
    <row r="913" spans="1:11" ht="12.75">
      <c r="A913" s="14" t="s">
        <v>1349</v>
      </c>
      <c r="B913" s="15" t="s">
        <v>1058</v>
      </c>
      <c r="C913" s="2">
        <v>1</v>
      </c>
      <c r="E913" s="2">
        <v>1</v>
      </c>
      <c r="G913" s="2">
        <v>15</v>
      </c>
      <c r="H913" s="17">
        <f t="shared" si="52"/>
        <v>15</v>
      </c>
      <c r="I913" s="2">
        <v>0</v>
      </c>
      <c r="K913" s="18">
        <f t="shared" si="53"/>
        <v>15</v>
      </c>
    </row>
    <row r="914" spans="1:11" ht="12.75">
      <c r="A914" s="14" t="s">
        <v>108</v>
      </c>
      <c r="B914" s="15" t="s">
        <v>98</v>
      </c>
      <c r="C914" s="2">
        <v>1</v>
      </c>
      <c r="E914" s="2">
        <f>1</f>
        <v>1</v>
      </c>
      <c r="G914" s="2">
        <f>15</f>
        <v>15</v>
      </c>
      <c r="H914" s="17">
        <f t="shared" si="52"/>
        <v>15</v>
      </c>
      <c r="I914" s="2">
        <f>0</f>
        <v>0</v>
      </c>
      <c r="K914" s="18">
        <f t="shared" si="53"/>
        <v>15</v>
      </c>
    </row>
    <row r="915" spans="1:11" ht="12.75">
      <c r="A915" s="14" t="s">
        <v>1765</v>
      </c>
      <c r="B915" s="15" t="s">
        <v>1761</v>
      </c>
      <c r="C915" s="2">
        <v>1</v>
      </c>
      <c r="E915" s="2">
        <v>2</v>
      </c>
      <c r="G915" s="2">
        <v>15</v>
      </c>
      <c r="H915" s="17">
        <f t="shared" si="52"/>
        <v>7.5</v>
      </c>
      <c r="I915" s="2">
        <v>0</v>
      </c>
      <c r="K915" s="18">
        <f t="shared" si="53"/>
        <v>15</v>
      </c>
    </row>
    <row r="916" spans="1:11" ht="12.75">
      <c r="A916" s="14" t="s">
        <v>147</v>
      </c>
      <c r="B916" s="15" t="s">
        <v>20</v>
      </c>
      <c r="C916" s="2">
        <v>1</v>
      </c>
      <c r="E916" s="2">
        <v>1</v>
      </c>
      <c r="G916" s="2">
        <v>14</v>
      </c>
      <c r="H916" s="17">
        <f t="shared" si="52"/>
        <v>14</v>
      </c>
      <c r="I916" s="2">
        <v>0</v>
      </c>
      <c r="K916" s="18">
        <f t="shared" si="53"/>
        <v>14</v>
      </c>
    </row>
    <row r="917" spans="1:11" ht="12.75">
      <c r="A917" s="14" t="s">
        <v>1142</v>
      </c>
      <c r="B917" s="15" t="s">
        <v>1013</v>
      </c>
      <c r="C917" s="2">
        <v>1</v>
      </c>
      <c r="E917" s="2">
        <v>2</v>
      </c>
      <c r="G917" s="2">
        <v>14</v>
      </c>
      <c r="H917" s="17">
        <f t="shared" si="52"/>
        <v>7</v>
      </c>
      <c r="I917" s="2">
        <v>0</v>
      </c>
      <c r="K917" s="18">
        <f t="shared" si="53"/>
        <v>14</v>
      </c>
    </row>
    <row r="918" spans="1:11" ht="12.75">
      <c r="A918" s="14" t="s">
        <v>1198</v>
      </c>
      <c r="B918" s="15" t="s">
        <v>1199</v>
      </c>
      <c r="C918" s="2">
        <v>1</v>
      </c>
      <c r="E918" s="2">
        <v>2</v>
      </c>
      <c r="G918" s="2">
        <v>14</v>
      </c>
      <c r="H918" s="17">
        <f t="shared" si="52"/>
        <v>7</v>
      </c>
      <c r="I918" s="2">
        <v>0</v>
      </c>
      <c r="K918" s="18">
        <f t="shared" si="53"/>
        <v>14</v>
      </c>
    </row>
    <row r="919" spans="1:11" ht="12.75">
      <c r="A919" s="14" t="s">
        <v>802</v>
      </c>
      <c r="B919" s="15" t="s">
        <v>801</v>
      </c>
      <c r="C919" s="2">
        <v>1</v>
      </c>
      <c r="E919" s="2">
        <f>2</f>
        <v>2</v>
      </c>
      <c r="G919" s="2">
        <f>14</f>
        <v>14</v>
      </c>
      <c r="H919" s="17">
        <f t="shared" si="52"/>
        <v>7</v>
      </c>
      <c r="I919" s="2">
        <f>1</f>
        <v>1</v>
      </c>
      <c r="K919" s="18">
        <f t="shared" si="53"/>
        <v>14</v>
      </c>
    </row>
    <row r="920" spans="1:11" ht="12.75">
      <c r="A920" s="14" t="s">
        <v>864</v>
      </c>
      <c r="B920" s="15" t="s">
        <v>315</v>
      </c>
      <c r="C920" s="2">
        <v>2</v>
      </c>
      <c r="E920" s="2">
        <f>1+1</f>
        <v>2</v>
      </c>
      <c r="G920" s="2">
        <f>11+3</f>
        <v>14</v>
      </c>
      <c r="H920" s="17">
        <f t="shared" si="52"/>
        <v>7</v>
      </c>
      <c r="I920" s="2">
        <f>0+1</f>
        <v>1</v>
      </c>
      <c r="K920" s="18">
        <f t="shared" si="53"/>
        <v>7</v>
      </c>
    </row>
    <row r="921" spans="1:11" ht="12.75">
      <c r="A921" s="14" t="s">
        <v>9</v>
      </c>
      <c r="B921" s="15" t="s">
        <v>1992</v>
      </c>
      <c r="C921" s="2">
        <v>1</v>
      </c>
      <c r="E921" s="2">
        <v>1</v>
      </c>
      <c r="G921" s="2">
        <v>13</v>
      </c>
      <c r="H921" s="17">
        <f t="shared" si="52"/>
        <v>13</v>
      </c>
      <c r="I921" s="2">
        <v>0</v>
      </c>
      <c r="K921" s="18">
        <f t="shared" si="53"/>
        <v>13</v>
      </c>
    </row>
    <row r="922" spans="1:11" ht="12.75">
      <c r="A922" s="14" t="s">
        <v>839</v>
      </c>
      <c r="B922" s="15" t="s">
        <v>840</v>
      </c>
      <c r="C922" s="2">
        <v>1</v>
      </c>
      <c r="E922" s="2">
        <f>5</f>
        <v>5</v>
      </c>
      <c r="G922" s="2">
        <f>13</f>
        <v>13</v>
      </c>
      <c r="H922" s="17">
        <f t="shared" si="52"/>
        <v>2.6</v>
      </c>
      <c r="I922" s="2">
        <f>0</f>
        <v>0</v>
      </c>
      <c r="K922" s="18">
        <f t="shared" si="53"/>
        <v>13</v>
      </c>
    </row>
    <row r="923" spans="1:11" ht="12.75">
      <c r="A923" s="14" t="s">
        <v>1350</v>
      </c>
      <c r="B923" s="15" t="s">
        <v>1045</v>
      </c>
      <c r="C923" s="2">
        <v>1</v>
      </c>
      <c r="E923" s="2">
        <v>1</v>
      </c>
      <c r="G923" s="2">
        <v>12</v>
      </c>
      <c r="H923" s="17">
        <f t="shared" si="52"/>
        <v>12</v>
      </c>
      <c r="I923" s="2">
        <v>0</v>
      </c>
      <c r="K923" s="18">
        <f t="shared" si="53"/>
        <v>12</v>
      </c>
    </row>
    <row r="924" spans="1:11" ht="12.75">
      <c r="A924" s="14" t="s">
        <v>1159</v>
      </c>
      <c r="B924" s="15" t="s">
        <v>1544</v>
      </c>
      <c r="C924" s="2">
        <v>1</v>
      </c>
      <c r="E924" s="2">
        <f>1</f>
        <v>1</v>
      </c>
      <c r="G924" s="2">
        <f>12</f>
        <v>12</v>
      </c>
      <c r="H924" s="17">
        <f t="shared" si="52"/>
        <v>12</v>
      </c>
      <c r="I924" s="2">
        <f>0</f>
        <v>0</v>
      </c>
      <c r="K924" s="18">
        <f t="shared" si="53"/>
        <v>12</v>
      </c>
    </row>
    <row r="925" spans="1:11" ht="12.75">
      <c r="A925" s="14" t="s">
        <v>841</v>
      </c>
      <c r="B925" s="15" t="s">
        <v>840</v>
      </c>
      <c r="C925" s="2">
        <v>1</v>
      </c>
      <c r="E925" s="2">
        <f>2</f>
        <v>2</v>
      </c>
      <c r="G925" s="2">
        <f>12</f>
        <v>12</v>
      </c>
      <c r="H925" s="17">
        <f t="shared" si="52"/>
        <v>6</v>
      </c>
      <c r="I925" s="2">
        <f>0</f>
        <v>0</v>
      </c>
      <c r="K925" s="18">
        <f t="shared" si="53"/>
        <v>12</v>
      </c>
    </row>
    <row r="926" spans="1:11" ht="12.75">
      <c r="A926" s="14" t="s">
        <v>678</v>
      </c>
      <c r="B926" s="15" t="s">
        <v>675</v>
      </c>
      <c r="C926" s="2">
        <v>1</v>
      </c>
      <c r="E926" s="2">
        <f>2</f>
        <v>2</v>
      </c>
      <c r="G926" s="2">
        <f>12</f>
        <v>12</v>
      </c>
      <c r="H926" s="17">
        <f t="shared" si="52"/>
        <v>6</v>
      </c>
      <c r="I926" s="2">
        <f>2</f>
        <v>2</v>
      </c>
      <c r="K926" s="18">
        <f t="shared" si="53"/>
        <v>12</v>
      </c>
    </row>
    <row r="927" spans="1:11" ht="12.75">
      <c r="A927" s="14" t="s">
        <v>1173</v>
      </c>
      <c r="B927" s="15" t="s">
        <v>1186</v>
      </c>
      <c r="C927" s="2">
        <v>1</v>
      </c>
      <c r="E927" s="2">
        <v>1</v>
      </c>
      <c r="G927" s="2">
        <v>11</v>
      </c>
      <c r="H927" s="17">
        <f t="shared" si="52"/>
        <v>11</v>
      </c>
      <c r="I927" s="2">
        <v>1</v>
      </c>
      <c r="K927" s="18">
        <f t="shared" si="53"/>
        <v>11</v>
      </c>
    </row>
    <row r="928" spans="1:11" ht="12.75">
      <c r="A928" s="14" t="s">
        <v>1352</v>
      </c>
      <c r="B928" s="15" t="s">
        <v>1013</v>
      </c>
      <c r="C928" s="2">
        <v>1</v>
      </c>
      <c r="E928" s="2">
        <v>1</v>
      </c>
      <c r="G928" s="2">
        <v>10</v>
      </c>
      <c r="H928" s="17">
        <f t="shared" si="52"/>
        <v>10</v>
      </c>
      <c r="I928" s="2">
        <v>0</v>
      </c>
      <c r="K928" s="18">
        <f t="shared" si="53"/>
        <v>10</v>
      </c>
    </row>
    <row r="929" spans="1:11" ht="12.75">
      <c r="A929" s="14" t="s">
        <v>596</v>
      </c>
      <c r="B929" s="15" t="s">
        <v>592</v>
      </c>
      <c r="C929" s="2">
        <v>1</v>
      </c>
      <c r="E929" s="2">
        <f>1</f>
        <v>1</v>
      </c>
      <c r="G929" s="2">
        <f>10</f>
        <v>10</v>
      </c>
      <c r="H929" s="17">
        <f t="shared" si="52"/>
        <v>10</v>
      </c>
      <c r="I929" s="2">
        <f>0</f>
        <v>0</v>
      </c>
      <c r="K929" s="18">
        <f t="shared" si="53"/>
        <v>10</v>
      </c>
    </row>
    <row r="930" spans="1:11" ht="12.75">
      <c r="A930" s="14" t="s">
        <v>1890</v>
      </c>
      <c r="B930" s="15" t="s">
        <v>1891</v>
      </c>
      <c r="C930" s="2">
        <v>1</v>
      </c>
      <c r="E930" s="2">
        <v>2</v>
      </c>
      <c r="G930" s="2">
        <v>10</v>
      </c>
      <c r="H930" s="17">
        <f t="shared" si="52"/>
        <v>5</v>
      </c>
      <c r="I930" s="2">
        <v>0</v>
      </c>
      <c r="K930" s="18">
        <f t="shared" si="53"/>
        <v>10</v>
      </c>
    </row>
    <row r="931" spans="1:11" ht="12.75">
      <c r="A931" s="14" t="s">
        <v>742</v>
      </c>
      <c r="B931" s="15" t="s">
        <v>741</v>
      </c>
      <c r="C931" s="2">
        <v>1</v>
      </c>
      <c r="E931" s="2">
        <f>3</f>
        <v>3</v>
      </c>
      <c r="G931" s="2">
        <f>10</f>
        <v>10</v>
      </c>
      <c r="H931" s="17">
        <f t="shared" si="52"/>
        <v>3.3333333333333335</v>
      </c>
      <c r="I931" s="2">
        <f>1</f>
        <v>1</v>
      </c>
      <c r="K931" s="18">
        <f t="shared" si="53"/>
        <v>10</v>
      </c>
    </row>
    <row r="932" spans="1:11" ht="12.75">
      <c r="A932" s="14" t="s">
        <v>496</v>
      </c>
      <c r="B932" s="15" t="s">
        <v>495</v>
      </c>
      <c r="C932" s="2">
        <v>1</v>
      </c>
      <c r="E932" s="2">
        <v>1</v>
      </c>
      <c r="G932" s="2">
        <v>8</v>
      </c>
      <c r="H932" s="17">
        <f t="shared" si="52"/>
        <v>8</v>
      </c>
      <c r="I932" s="2">
        <v>0</v>
      </c>
      <c r="K932" s="18">
        <f t="shared" si="53"/>
        <v>8</v>
      </c>
    </row>
    <row r="933" spans="1:11" ht="12.75">
      <c r="A933" s="14" t="s">
        <v>1129</v>
      </c>
      <c r="B933" s="15" t="s">
        <v>1966</v>
      </c>
      <c r="C933" s="2">
        <v>1</v>
      </c>
      <c r="E933" s="2">
        <v>1</v>
      </c>
      <c r="G933" s="2">
        <v>7</v>
      </c>
      <c r="H933" s="17">
        <f aca="true" t="shared" si="54" ref="H933:H952">G933/E933</f>
        <v>7</v>
      </c>
      <c r="I933" s="2">
        <v>0</v>
      </c>
      <c r="K933" s="18">
        <f aca="true" t="shared" si="55" ref="K933:K952">IF(C933=0,0,G933/C933)</f>
        <v>7</v>
      </c>
    </row>
    <row r="934" spans="1:11" ht="12.75">
      <c r="A934" s="14" t="s">
        <v>1560</v>
      </c>
      <c r="B934" s="15" t="s">
        <v>1552</v>
      </c>
      <c r="C934" s="2">
        <v>1</v>
      </c>
      <c r="E934" s="2">
        <f>1</f>
        <v>1</v>
      </c>
      <c r="G934" s="2">
        <f>7</f>
        <v>7</v>
      </c>
      <c r="H934" s="17">
        <f t="shared" si="54"/>
        <v>7</v>
      </c>
      <c r="I934" s="2">
        <f>0</f>
        <v>0</v>
      </c>
      <c r="K934" s="18">
        <f t="shared" si="55"/>
        <v>7</v>
      </c>
    </row>
    <row r="935" spans="1:11" ht="12.75">
      <c r="A935" s="14" t="s">
        <v>594</v>
      </c>
      <c r="B935" s="15" t="s">
        <v>592</v>
      </c>
      <c r="C935" s="2">
        <v>1</v>
      </c>
      <c r="E935" s="2">
        <f>1</f>
        <v>1</v>
      </c>
      <c r="G935" s="2">
        <f>6</f>
        <v>6</v>
      </c>
      <c r="H935" s="17">
        <f t="shared" si="54"/>
        <v>6</v>
      </c>
      <c r="I935" s="2">
        <f>0</f>
        <v>0</v>
      </c>
      <c r="K935" s="18">
        <f t="shared" si="55"/>
        <v>6</v>
      </c>
    </row>
    <row r="936" spans="1:11" ht="12.75">
      <c r="A936" s="14" t="s">
        <v>1189</v>
      </c>
      <c r="B936" s="15" t="s">
        <v>1091</v>
      </c>
      <c r="C936" s="2">
        <v>1</v>
      </c>
      <c r="E936" s="2">
        <v>1</v>
      </c>
      <c r="G936" s="2">
        <v>5</v>
      </c>
      <c r="H936" s="17">
        <f t="shared" si="54"/>
        <v>5</v>
      </c>
      <c r="I936" s="2">
        <v>0</v>
      </c>
      <c r="K936" s="18">
        <f t="shared" si="55"/>
        <v>5</v>
      </c>
    </row>
    <row r="937" spans="1:11" ht="12.75">
      <c r="A937" s="14" t="s">
        <v>1135</v>
      </c>
      <c r="B937" s="15" t="s">
        <v>1017</v>
      </c>
      <c r="C937" s="2">
        <v>1</v>
      </c>
      <c r="E937" s="2">
        <v>1</v>
      </c>
      <c r="G937" s="2">
        <v>5</v>
      </c>
      <c r="H937" s="17">
        <f t="shared" si="54"/>
        <v>5</v>
      </c>
      <c r="I937" s="2">
        <v>0</v>
      </c>
      <c r="K937" s="18">
        <f t="shared" si="55"/>
        <v>5</v>
      </c>
    </row>
    <row r="938" spans="1:11" ht="12.75">
      <c r="A938" s="14" t="s">
        <v>257</v>
      </c>
      <c r="B938" s="15" t="s">
        <v>592</v>
      </c>
      <c r="C938" s="2">
        <v>1</v>
      </c>
      <c r="E938" s="2">
        <f>1</f>
        <v>1</v>
      </c>
      <c r="G938" s="2">
        <f>5</f>
        <v>5</v>
      </c>
      <c r="H938" s="17">
        <f t="shared" si="54"/>
        <v>5</v>
      </c>
      <c r="I938" s="2">
        <f>0</f>
        <v>0</v>
      </c>
      <c r="K938" s="18">
        <f t="shared" si="55"/>
        <v>5</v>
      </c>
    </row>
    <row r="939" spans="1:11" ht="12.75">
      <c r="A939" s="14" t="s">
        <v>716</v>
      </c>
      <c r="B939" s="15" t="s">
        <v>717</v>
      </c>
      <c r="C939" s="2">
        <v>1</v>
      </c>
      <c r="E939" s="2">
        <f>1</f>
        <v>1</v>
      </c>
      <c r="G939" s="2">
        <f>5</f>
        <v>5</v>
      </c>
      <c r="H939" s="17">
        <f t="shared" si="54"/>
        <v>5</v>
      </c>
      <c r="I939" s="2">
        <f>0</f>
        <v>0</v>
      </c>
      <c r="K939" s="18">
        <f t="shared" si="55"/>
        <v>5</v>
      </c>
    </row>
    <row r="940" spans="1:11" ht="12.75">
      <c r="A940" s="14" t="s">
        <v>262</v>
      </c>
      <c r="B940" s="15" t="s">
        <v>259</v>
      </c>
      <c r="C940" s="2">
        <v>1</v>
      </c>
      <c r="E940" s="2">
        <f>1</f>
        <v>1</v>
      </c>
      <c r="G940" s="2">
        <f>5</f>
        <v>5</v>
      </c>
      <c r="H940" s="17">
        <f t="shared" si="54"/>
        <v>5</v>
      </c>
      <c r="I940" s="2">
        <f>0</f>
        <v>0</v>
      </c>
      <c r="K940" s="18">
        <f t="shared" si="55"/>
        <v>5</v>
      </c>
    </row>
    <row r="941" spans="1:11" ht="12.75">
      <c r="A941" s="14" t="s">
        <v>2023</v>
      </c>
      <c r="B941" s="15" t="s">
        <v>2022</v>
      </c>
      <c r="C941" s="2">
        <v>1</v>
      </c>
      <c r="E941" s="2">
        <v>2</v>
      </c>
      <c r="G941" s="2">
        <v>5</v>
      </c>
      <c r="H941" s="17">
        <f t="shared" si="54"/>
        <v>2.5</v>
      </c>
      <c r="I941" s="2">
        <v>0</v>
      </c>
      <c r="K941" s="18">
        <f t="shared" si="55"/>
        <v>5</v>
      </c>
    </row>
    <row r="942" spans="1:11" ht="12.75">
      <c r="A942" s="14" t="s">
        <v>1359</v>
      </c>
      <c r="B942" s="15" t="s">
        <v>41</v>
      </c>
      <c r="C942" s="2">
        <v>2</v>
      </c>
      <c r="E942" s="2">
        <f>1+1</f>
        <v>2</v>
      </c>
      <c r="G942" s="2">
        <f>3+2</f>
        <v>5</v>
      </c>
      <c r="H942" s="17">
        <f t="shared" si="54"/>
        <v>2.5</v>
      </c>
      <c r="I942" s="2">
        <f>1+1</f>
        <v>2</v>
      </c>
      <c r="K942" s="18">
        <f t="shared" si="55"/>
        <v>2.5</v>
      </c>
    </row>
    <row r="943" spans="1:11" ht="12.75">
      <c r="A943" s="14" t="s">
        <v>1935</v>
      </c>
      <c r="B943" s="15" t="s">
        <v>1934</v>
      </c>
      <c r="C943" s="2">
        <v>1</v>
      </c>
      <c r="E943" s="2">
        <v>1</v>
      </c>
      <c r="G943" s="2">
        <v>4</v>
      </c>
      <c r="H943" s="17">
        <f t="shared" si="54"/>
        <v>4</v>
      </c>
      <c r="I943" s="2">
        <v>0</v>
      </c>
      <c r="K943" s="18">
        <f t="shared" si="55"/>
        <v>4</v>
      </c>
    </row>
    <row r="944" spans="1:11" ht="12.75">
      <c r="A944" s="14" t="s">
        <v>465</v>
      </c>
      <c r="B944" s="15" t="s">
        <v>463</v>
      </c>
      <c r="C944" s="2">
        <v>1</v>
      </c>
      <c r="E944" s="2">
        <v>1</v>
      </c>
      <c r="G944" s="2">
        <v>4</v>
      </c>
      <c r="H944" s="17">
        <f t="shared" si="54"/>
        <v>4</v>
      </c>
      <c r="I944" s="2">
        <v>1</v>
      </c>
      <c r="K944" s="18">
        <f t="shared" si="55"/>
        <v>4</v>
      </c>
    </row>
    <row r="945" spans="1:11" ht="12.75">
      <c r="A945" s="14" t="s">
        <v>631</v>
      </c>
      <c r="B945" s="15" t="s">
        <v>632</v>
      </c>
      <c r="C945" s="2">
        <v>1</v>
      </c>
      <c r="E945" s="2">
        <f>1</f>
        <v>1</v>
      </c>
      <c r="G945" s="2">
        <f>4</f>
        <v>4</v>
      </c>
      <c r="H945" s="17">
        <f t="shared" si="54"/>
        <v>4</v>
      </c>
      <c r="I945" s="2">
        <f>0</f>
        <v>0</v>
      </c>
      <c r="K945" s="18">
        <f t="shared" si="55"/>
        <v>4</v>
      </c>
    </row>
    <row r="946" spans="1:11" ht="12.75">
      <c r="A946" s="14" t="s">
        <v>451</v>
      </c>
      <c r="B946" s="15" t="s">
        <v>448</v>
      </c>
      <c r="C946" s="2">
        <v>1</v>
      </c>
      <c r="E946" s="2">
        <f>1</f>
        <v>1</v>
      </c>
      <c r="G946" s="2">
        <f>4</f>
        <v>4</v>
      </c>
      <c r="H946" s="17">
        <f t="shared" si="54"/>
        <v>4</v>
      </c>
      <c r="I946" s="2">
        <f>0</f>
        <v>0</v>
      </c>
      <c r="K946" s="18">
        <f t="shared" si="55"/>
        <v>4</v>
      </c>
    </row>
    <row r="947" spans="1:11" ht="12.75">
      <c r="A947" s="14" t="s">
        <v>19</v>
      </c>
      <c r="B947" s="15" t="s">
        <v>20</v>
      </c>
      <c r="C947" s="2">
        <v>1</v>
      </c>
      <c r="E947" s="2">
        <v>1</v>
      </c>
      <c r="G947" s="2">
        <v>1</v>
      </c>
      <c r="H947" s="17">
        <f t="shared" si="54"/>
        <v>1</v>
      </c>
      <c r="I947" s="2">
        <v>1</v>
      </c>
      <c r="K947" s="18">
        <f t="shared" si="55"/>
        <v>1</v>
      </c>
    </row>
    <row r="948" spans="1:11" ht="12.75">
      <c r="A948" s="14" t="s">
        <v>1745</v>
      </c>
      <c r="B948" s="15" t="s">
        <v>1743</v>
      </c>
      <c r="C948" s="2">
        <v>1</v>
      </c>
      <c r="E948" s="2">
        <v>1</v>
      </c>
      <c r="G948" s="2">
        <v>-2</v>
      </c>
      <c r="H948" s="17">
        <f t="shared" si="54"/>
        <v>-2</v>
      </c>
      <c r="I948" s="2">
        <v>0</v>
      </c>
      <c r="K948" s="18">
        <f t="shared" si="55"/>
        <v>-2</v>
      </c>
    </row>
    <row r="949" spans="1:11" ht="12.75">
      <c r="A949" s="14" t="s">
        <v>68</v>
      </c>
      <c r="B949" s="15" t="s">
        <v>69</v>
      </c>
      <c r="C949" s="2">
        <v>1</v>
      </c>
      <c r="E949" s="2">
        <f>1</f>
        <v>1</v>
      </c>
      <c r="G949" s="2">
        <f>-2</f>
        <v>-2</v>
      </c>
      <c r="H949" s="17">
        <f t="shared" si="54"/>
        <v>-2</v>
      </c>
      <c r="I949" s="2">
        <f>0</f>
        <v>0</v>
      </c>
      <c r="K949" s="18">
        <f t="shared" si="55"/>
        <v>-2</v>
      </c>
    </row>
    <row r="950" spans="1:11" ht="12.75">
      <c r="A950" s="14" t="s">
        <v>778</v>
      </c>
      <c r="B950" s="15" t="s">
        <v>774</v>
      </c>
      <c r="C950" s="2">
        <v>1</v>
      </c>
      <c r="E950" s="2">
        <f>1</f>
        <v>1</v>
      </c>
      <c r="G950" s="2">
        <f>-3</f>
        <v>-3</v>
      </c>
      <c r="H950" s="17">
        <f t="shared" si="54"/>
        <v>-3</v>
      </c>
      <c r="I950" s="2">
        <f>0</f>
        <v>0</v>
      </c>
      <c r="K950" s="18">
        <f t="shared" si="55"/>
        <v>-3</v>
      </c>
    </row>
    <row r="951" spans="1:11" ht="12.75">
      <c r="A951" s="14" t="s">
        <v>56</v>
      </c>
      <c r="B951" s="15" t="s">
        <v>54</v>
      </c>
      <c r="C951" s="2">
        <v>1</v>
      </c>
      <c r="E951" s="2">
        <f>1</f>
        <v>1</v>
      </c>
      <c r="G951" s="2">
        <f>-3</f>
        <v>-3</v>
      </c>
      <c r="H951" s="17">
        <f t="shared" si="54"/>
        <v>-3</v>
      </c>
      <c r="I951" s="2">
        <f>0</f>
        <v>0</v>
      </c>
      <c r="K951" s="18">
        <f t="shared" si="55"/>
        <v>-3</v>
      </c>
    </row>
    <row r="952" spans="1:11" ht="12.75">
      <c r="A952" s="14" t="s">
        <v>38</v>
      </c>
      <c r="B952" s="15" t="s">
        <v>39</v>
      </c>
      <c r="C952" s="2">
        <v>1</v>
      </c>
      <c r="E952" s="2">
        <v>1</v>
      </c>
      <c r="G952" s="2">
        <v>-4</v>
      </c>
      <c r="H952" s="17">
        <f t="shared" si="54"/>
        <v>-4</v>
      </c>
      <c r="I952" s="2">
        <v>0</v>
      </c>
      <c r="K952" s="18">
        <f t="shared" si="55"/>
        <v>-4</v>
      </c>
    </row>
    <row r="953" spans="1:11" ht="12.75">
      <c r="A953" s="14"/>
      <c r="B953" s="15"/>
      <c r="E953" s="2"/>
      <c r="G953" s="2"/>
      <c r="H953" s="17"/>
      <c r="I953" s="2"/>
      <c r="K953" s="18"/>
    </row>
    <row r="954" spans="1:11" ht="12.75">
      <c r="A954" s="21" t="s">
        <v>998</v>
      </c>
      <c r="B954" s="22"/>
      <c r="C954" s="23"/>
      <c r="D954" s="23"/>
      <c r="E954" s="23">
        <f>SUM(E421:E953)</f>
        <v>47218</v>
      </c>
      <c r="F954" s="23"/>
      <c r="G954" s="23">
        <f>SUM(G421:G953)</f>
        <v>543706</v>
      </c>
      <c r="H954" s="28">
        <f>IF(E954=0,0,G954/E954)</f>
        <v>11.514803676564021</v>
      </c>
      <c r="I954" s="23">
        <f>SUM(I421:I953)</f>
        <v>3314</v>
      </c>
      <c r="K954" s="18"/>
    </row>
    <row r="955" spans="1:2" ht="12.75">
      <c r="A955" s="14"/>
      <c r="B955" s="15"/>
    </row>
    <row r="956" spans="1:2" ht="12.75">
      <c r="A956" s="14"/>
      <c r="B956" s="15"/>
    </row>
    <row r="957" spans="1:2" ht="12.75">
      <c r="A957" s="14"/>
      <c r="B957" s="15"/>
    </row>
    <row r="958" spans="1:8" ht="15.75">
      <c r="A958" s="5" t="s">
        <v>1005</v>
      </c>
      <c r="B958" s="6" t="s">
        <v>986</v>
      </c>
      <c r="C958" s="7" t="s">
        <v>1036</v>
      </c>
      <c r="D958" s="8"/>
      <c r="E958" s="9" t="s">
        <v>1006</v>
      </c>
      <c r="F958" s="9"/>
      <c r="G958" s="9" t="s">
        <v>1007</v>
      </c>
      <c r="H958" s="9" t="s">
        <v>1008</v>
      </c>
    </row>
    <row r="959" spans="1:6" ht="12.75">
      <c r="A959" s="14"/>
      <c r="B959" s="15"/>
      <c r="E959" s="29"/>
      <c r="F959" s="29"/>
    </row>
    <row r="960" spans="1:8" ht="12.75">
      <c r="A960" s="14" t="s">
        <v>1383</v>
      </c>
      <c r="B960" s="15" t="s">
        <v>446</v>
      </c>
      <c r="C960" s="2">
        <v>7</v>
      </c>
      <c r="D960" s="2">
        <f>15+34+24+26+29+23+28</f>
        <v>179</v>
      </c>
      <c r="E960" s="16">
        <f aca="true" t="shared" si="56" ref="E960:E996">D960/F960</f>
        <v>0.8136363636363636</v>
      </c>
      <c r="F960" s="2">
        <f>22+37+27+33+38+26+37</f>
        <v>220</v>
      </c>
      <c r="G960" s="2">
        <f>101+144+114+131+141+119+131</f>
        <v>881</v>
      </c>
      <c r="H960" s="18">
        <f aca="true" t="shared" si="57" ref="H960:H996">IF(C960=0,0,G960/C960/16)</f>
        <v>7.866071428571429</v>
      </c>
    </row>
    <row r="961" spans="1:8" ht="12.75">
      <c r="A961" s="52" t="s">
        <v>323</v>
      </c>
      <c r="B961" s="15" t="s">
        <v>1866</v>
      </c>
      <c r="C961" s="2">
        <v>7</v>
      </c>
      <c r="D961" s="2">
        <f>26+32+26+31+29+30+34</f>
        <v>208</v>
      </c>
      <c r="E961" s="16">
        <f t="shared" si="56"/>
        <v>0.8387096774193549</v>
      </c>
      <c r="F961" s="2">
        <f>32+43+29+40+33+33+38</f>
        <v>248</v>
      </c>
      <c r="G961" s="2">
        <f>111+136+103+130+115+117+142</f>
        <v>854</v>
      </c>
      <c r="H961" s="18">
        <f t="shared" si="57"/>
        <v>7.625</v>
      </c>
    </row>
    <row r="962" spans="1:8" ht="12.75">
      <c r="A962" s="14" t="s">
        <v>1815</v>
      </c>
      <c r="B962" s="15" t="s">
        <v>704</v>
      </c>
      <c r="C962" s="2">
        <v>6</v>
      </c>
      <c r="D962" s="2">
        <f>21+26+37+37+32+25</f>
        <v>178</v>
      </c>
      <c r="E962" s="16">
        <f t="shared" si="56"/>
        <v>0.8317757009345794</v>
      </c>
      <c r="F962" s="2">
        <f>29+36+42+40+36+31</f>
        <v>214</v>
      </c>
      <c r="G962" s="2">
        <f>118+123+145+150+136+120</f>
        <v>792</v>
      </c>
      <c r="H962" s="18">
        <f t="shared" si="57"/>
        <v>8.25</v>
      </c>
    </row>
    <row r="963" spans="1:8" ht="12.75">
      <c r="A963" s="52" t="s">
        <v>325</v>
      </c>
      <c r="B963" s="15" t="s">
        <v>1561</v>
      </c>
      <c r="C963" s="2">
        <v>7</v>
      </c>
      <c r="D963" s="2">
        <f>21+19+25+22+24+20+30</f>
        <v>161</v>
      </c>
      <c r="E963" s="16">
        <f t="shared" si="56"/>
        <v>0.8256410256410256</v>
      </c>
      <c r="F963" s="2">
        <f>21+24+33+27+30+26+34</f>
        <v>195</v>
      </c>
      <c r="G963" s="2">
        <f>105+88+110+96+107+104+118</f>
        <v>728</v>
      </c>
      <c r="H963" s="18">
        <f t="shared" si="57"/>
        <v>6.5</v>
      </c>
    </row>
    <row r="964" spans="1:8" ht="12.75">
      <c r="A964" s="14" t="s">
        <v>1924</v>
      </c>
      <c r="B964" s="15" t="s">
        <v>718</v>
      </c>
      <c r="C964" s="2">
        <v>5</v>
      </c>
      <c r="D964" s="2">
        <f>33+39+27+26+40</f>
        <v>165</v>
      </c>
      <c r="E964" s="16">
        <f t="shared" si="56"/>
        <v>0.8168316831683168</v>
      </c>
      <c r="F964" s="2">
        <f>40+48+32+35+47</f>
        <v>202</v>
      </c>
      <c r="G964" s="2">
        <f>138+168+113+116+164</f>
        <v>699</v>
      </c>
      <c r="H964" s="18">
        <f t="shared" si="57"/>
        <v>8.7375</v>
      </c>
    </row>
    <row r="965" spans="1:8" ht="12.75">
      <c r="A965" s="53" t="s">
        <v>324</v>
      </c>
      <c r="B965" s="15" t="s">
        <v>920</v>
      </c>
      <c r="C965" s="2">
        <v>6</v>
      </c>
      <c r="D965" s="2">
        <f>25+39+35+26+24+20</f>
        <v>169</v>
      </c>
      <c r="E965" s="16">
        <f t="shared" si="56"/>
        <v>0.8848167539267016</v>
      </c>
      <c r="F965" s="2">
        <f>28+45+38+27+30+23</f>
        <v>191</v>
      </c>
      <c r="G965" s="2">
        <f>113+152+139+112+110+72</f>
        <v>698</v>
      </c>
      <c r="H965" s="18">
        <f t="shared" si="57"/>
        <v>7.270833333333333</v>
      </c>
    </row>
    <row r="966" spans="1:8" ht="12.75">
      <c r="A966" s="52" t="s">
        <v>326</v>
      </c>
      <c r="B966" s="15" t="s">
        <v>1257</v>
      </c>
      <c r="C966" s="2">
        <v>6</v>
      </c>
      <c r="D966" s="2">
        <f>30+37+22+21+29+28</f>
        <v>167</v>
      </c>
      <c r="E966" s="16">
        <f t="shared" si="56"/>
        <v>0.8267326732673267</v>
      </c>
      <c r="F966" s="2">
        <f>35+42+27+34+30+34</f>
        <v>202</v>
      </c>
      <c r="G966" s="2">
        <f>120+141+111+89+114+109</f>
        <v>684</v>
      </c>
      <c r="H966" s="18">
        <f t="shared" si="57"/>
        <v>7.125</v>
      </c>
    </row>
    <row r="967" spans="1:8" ht="12.75">
      <c r="A967" s="14" t="s">
        <v>1385</v>
      </c>
      <c r="B967" s="15" t="s">
        <v>283</v>
      </c>
      <c r="C967" s="2">
        <v>6</v>
      </c>
      <c r="D967" s="2">
        <f>25+25+27+25+24+31</f>
        <v>157</v>
      </c>
      <c r="E967" s="16">
        <f t="shared" si="56"/>
        <v>0.8134715025906736</v>
      </c>
      <c r="F967" s="2">
        <f>31+32+32+28+32+38</f>
        <v>193</v>
      </c>
      <c r="G967" s="2">
        <f>127+114+112+97+102+125</f>
        <v>677</v>
      </c>
      <c r="H967" s="18">
        <f t="shared" si="57"/>
        <v>7.052083333333333</v>
      </c>
    </row>
    <row r="968" spans="1:8" ht="12.75">
      <c r="A968" s="14" t="s">
        <v>1390</v>
      </c>
      <c r="B968" s="15" t="s">
        <v>91</v>
      </c>
      <c r="C968" s="2">
        <v>6</v>
      </c>
      <c r="D968" s="2">
        <f>16+26+23+18+22+23</f>
        <v>128</v>
      </c>
      <c r="E968" s="16">
        <f t="shared" si="56"/>
        <v>0.810126582278481</v>
      </c>
      <c r="F968" s="2">
        <f>20+33+31+22+27+25</f>
        <v>158</v>
      </c>
      <c r="G968" s="2">
        <f>98+113+109+95+127+102</f>
        <v>644</v>
      </c>
      <c r="H968" s="18">
        <f t="shared" si="57"/>
        <v>6.708333333333333</v>
      </c>
    </row>
    <row r="969" spans="1:8" ht="12.75">
      <c r="A969" s="14" t="s">
        <v>1396</v>
      </c>
      <c r="B969" s="15" t="s">
        <v>72</v>
      </c>
      <c r="C969" s="2">
        <v>6</v>
      </c>
      <c r="D969" s="2">
        <f>23+21+24+24+22+23</f>
        <v>137</v>
      </c>
      <c r="E969" s="16">
        <f t="shared" si="56"/>
        <v>0.8509316770186336</v>
      </c>
      <c r="F969" s="2">
        <f>25+30+28+25+29+24</f>
        <v>161</v>
      </c>
      <c r="G969" s="2">
        <f>90+103+116+113+105+113</f>
        <v>640</v>
      </c>
      <c r="H969" s="18">
        <f t="shared" si="57"/>
        <v>6.666666666666667</v>
      </c>
    </row>
    <row r="970" spans="1:8" ht="12.75">
      <c r="A970" s="14" t="s">
        <v>1388</v>
      </c>
      <c r="B970" s="15" t="s">
        <v>551</v>
      </c>
      <c r="C970" s="2">
        <v>6</v>
      </c>
      <c r="D970" s="2">
        <f>27+17+29+25+23+23</f>
        <v>144</v>
      </c>
      <c r="E970" s="16">
        <f t="shared" si="56"/>
        <v>0.8622754491017964</v>
      </c>
      <c r="F970" s="2">
        <f>30+20+32+28+27+30</f>
        <v>167</v>
      </c>
      <c r="G970" s="2">
        <f>118+82+117+94+105+115</f>
        <v>631</v>
      </c>
      <c r="H970" s="18">
        <f t="shared" si="57"/>
        <v>6.572916666666667</v>
      </c>
    </row>
    <row r="971" spans="1:8" ht="12.75">
      <c r="A971" s="14" t="s">
        <v>1384</v>
      </c>
      <c r="B971" s="15" t="s">
        <v>762</v>
      </c>
      <c r="C971" s="2">
        <v>5</v>
      </c>
      <c r="D971" s="2">
        <f>27+28+25+22+22</f>
        <v>124</v>
      </c>
      <c r="E971" s="16">
        <f t="shared" si="56"/>
        <v>0.8493150684931506</v>
      </c>
      <c r="F971" s="2">
        <f>30+31+31+28+26</f>
        <v>146</v>
      </c>
      <c r="G971" s="2">
        <f>128+132+123+111+107</f>
        <v>601</v>
      </c>
      <c r="H971" s="18">
        <f t="shared" si="57"/>
        <v>7.5125</v>
      </c>
    </row>
    <row r="972" spans="1:8" ht="12.75">
      <c r="A972" s="52" t="s">
        <v>327</v>
      </c>
      <c r="B972" s="15" t="s">
        <v>902</v>
      </c>
      <c r="C972" s="2">
        <v>6</v>
      </c>
      <c r="D972" s="2">
        <f>33+18+24+21+23+18</f>
        <v>137</v>
      </c>
      <c r="E972" s="16">
        <f t="shared" si="56"/>
        <v>0.8509316770186336</v>
      </c>
      <c r="F972" s="2">
        <f>35+23+29+24+27+23</f>
        <v>161</v>
      </c>
      <c r="G972" s="2">
        <f>140+87+94+94+105+76</f>
        <v>596</v>
      </c>
      <c r="H972" s="18">
        <f t="shared" si="57"/>
        <v>6.208333333333333</v>
      </c>
    </row>
    <row r="973" spans="1:8" ht="12.75">
      <c r="A973" s="14" t="s">
        <v>1389</v>
      </c>
      <c r="B973" s="15" t="s">
        <v>492</v>
      </c>
      <c r="C973" s="2">
        <v>5</v>
      </c>
      <c r="D973" s="2">
        <f>17+23+40+24+29</f>
        <v>133</v>
      </c>
      <c r="E973" s="16">
        <f t="shared" si="56"/>
        <v>0.7777777777777778</v>
      </c>
      <c r="F973" s="2">
        <f>24+38+45+31+33</f>
        <v>171</v>
      </c>
      <c r="G973" s="2">
        <f>87+114+152+112+105</f>
        <v>570</v>
      </c>
      <c r="H973" s="18">
        <f t="shared" si="57"/>
        <v>7.125</v>
      </c>
    </row>
    <row r="974" spans="1:8" ht="12.75">
      <c r="A974" s="14" t="s">
        <v>151</v>
      </c>
      <c r="B974" s="15" t="s">
        <v>685</v>
      </c>
      <c r="C974" s="2">
        <v>4</v>
      </c>
      <c r="D974" s="2">
        <f>30+27+28+30</f>
        <v>115</v>
      </c>
      <c r="E974" s="16">
        <f t="shared" si="56"/>
        <v>0.8582089552238806</v>
      </c>
      <c r="F974" s="2">
        <f>32+33+32+37</f>
        <v>134</v>
      </c>
      <c r="G974" s="2">
        <f>145+126+125+136</f>
        <v>532</v>
      </c>
      <c r="H974" s="18">
        <f t="shared" si="57"/>
        <v>8.3125</v>
      </c>
    </row>
    <row r="975" spans="1:8" ht="12.75">
      <c r="A975" s="52" t="s">
        <v>329</v>
      </c>
      <c r="B975" s="15" t="s">
        <v>1577</v>
      </c>
      <c r="C975" s="2">
        <v>5</v>
      </c>
      <c r="D975" s="2">
        <f>31+27+25+22+17</f>
        <v>122</v>
      </c>
      <c r="E975" s="16">
        <f t="shared" si="56"/>
        <v>0.8714285714285714</v>
      </c>
      <c r="F975" s="2">
        <f>32+31+30+26+21</f>
        <v>140</v>
      </c>
      <c r="G975" s="2">
        <f>118+111+102+103+92</f>
        <v>526</v>
      </c>
      <c r="H975" s="18">
        <f t="shared" si="57"/>
        <v>6.575</v>
      </c>
    </row>
    <row r="976" spans="1:8" ht="12.75">
      <c r="A976" s="52" t="s">
        <v>328</v>
      </c>
      <c r="B976" s="15" t="s">
        <v>882</v>
      </c>
      <c r="C976" s="2">
        <v>5</v>
      </c>
      <c r="D976" s="2">
        <f>18+18+28+27+15</f>
        <v>106</v>
      </c>
      <c r="E976" s="16">
        <f t="shared" si="56"/>
        <v>0.848</v>
      </c>
      <c r="F976" s="2">
        <f>27+18+32+29+19</f>
        <v>125</v>
      </c>
      <c r="G976" s="2">
        <f>89+99+120+131+82</f>
        <v>521</v>
      </c>
      <c r="H976" s="18">
        <f t="shared" si="57"/>
        <v>6.5125</v>
      </c>
    </row>
    <row r="977" spans="1:8" ht="12.75">
      <c r="A977" s="52" t="s">
        <v>330</v>
      </c>
      <c r="B977" s="15" t="s">
        <v>1546</v>
      </c>
      <c r="C977" s="2">
        <v>5</v>
      </c>
      <c r="D977" s="2">
        <f>29+18+25+17+16</f>
        <v>105</v>
      </c>
      <c r="E977" s="16">
        <f t="shared" si="56"/>
        <v>0.7342657342657343</v>
      </c>
      <c r="F977" s="2">
        <f>32+26+28+29+28</f>
        <v>143</v>
      </c>
      <c r="G977" s="2">
        <f>119+79+102+82+79</f>
        <v>461</v>
      </c>
      <c r="H977" s="18">
        <f t="shared" si="57"/>
        <v>5.7625</v>
      </c>
    </row>
    <row r="978" spans="1:8" ht="12.75">
      <c r="A978" s="14" t="s">
        <v>1395</v>
      </c>
      <c r="B978" s="15" t="s">
        <v>410</v>
      </c>
      <c r="C978" s="2">
        <v>4</v>
      </c>
      <c r="D978" s="2">
        <f>17+26+25+23</f>
        <v>91</v>
      </c>
      <c r="E978" s="16">
        <f t="shared" si="56"/>
        <v>0.7711864406779662</v>
      </c>
      <c r="F978" s="2">
        <f>28+33+29+28</f>
        <v>118</v>
      </c>
      <c r="G978" s="2">
        <f>97+114+111+103</f>
        <v>425</v>
      </c>
      <c r="H978" s="18">
        <f t="shared" si="57"/>
        <v>6.640625</v>
      </c>
    </row>
    <row r="979" spans="1:8" ht="12.75">
      <c r="A979" s="14" t="s">
        <v>1394</v>
      </c>
      <c r="B979" s="15" t="s">
        <v>322</v>
      </c>
      <c r="C979" s="2">
        <v>4</v>
      </c>
      <c r="D979" s="3">
        <f>18+23+27+22</f>
        <v>90</v>
      </c>
      <c r="E979" s="16">
        <f t="shared" si="56"/>
        <v>0.7758620689655172</v>
      </c>
      <c r="F979" s="3">
        <f>25+33+33+25</f>
        <v>116</v>
      </c>
      <c r="G979" s="2">
        <f>93+100+101+97</f>
        <v>391</v>
      </c>
      <c r="H979" s="18">
        <f t="shared" si="57"/>
        <v>6.109375</v>
      </c>
    </row>
    <row r="980" spans="1:8" ht="12.75">
      <c r="A980" s="14" t="s">
        <v>242</v>
      </c>
      <c r="B980" s="15" t="s">
        <v>644</v>
      </c>
      <c r="C980" s="2">
        <v>3</v>
      </c>
      <c r="D980" s="2">
        <f>33+32+25</f>
        <v>90</v>
      </c>
      <c r="E980" s="16">
        <f t="shared" si="56"/>
        <v>0.9183673469387755</v>
      </c>
      <c r="F980" s="2">
        <f>35+34+29</f>
        <v>98</v>
      </c>
      <c r="G980" s="2">
        <f>136+132+115</f>
        <v>383</v>
      </c>
      <c r="H980" s="18">
        <f t="shared" si="57"/>
        <v>7.979166666666667</v>
      </c>
    </row>
    <row r="981" spans="1:8" ht="12.75">
      <c r="A981" s="14" t="s">
        <v>1387</v>
      </c>
      <c r="B981" s="15" t="s">
        <v>1995</v>
      </c>
      <c r="C981" s="2">
        <v>4</v>
      </c>
      <c r="D981" s="2">
        <f>22+26+13+16</f>
        <v>77</v>
      </c>
      <c r="E981" s="16">
        <f t="shared" si="56"/>
        <v>0.6875</v>
      </c>
      <c r="F981" s="2">
        <f>28+34+24+26</f>
        <v>112</v>
      </c>
      <c r="G981" s="2">
        <f>101+119+79+81</f>
        <v>380</v>
      </c>
      <c r="H981" s="18">
        <f t="shared" si="57"/>
        <v>5.9375</v>
      </c>
    </row>
    <row r="982" spans="1:8" ht="12.75">
      <c r="A982" s="14" t="s">
        <v>475</v>
      </c>
      <c r="B982" s="15" t="s">
        <v>316</v>
      </c>
      <c r="C982" s="2">
        <v>3</v>
      </c>
      <c r="D982" s="2">
        <f>27+27+31</f>
        <v>85</v>
      </c>
      <c r="E982" s="16">
        <f t="shared" si="56"/>
        <v>0.8095238095238095</v>
      </c>
      <c r="F982" s="2">
        <f>32+32+41</f>
        <v>105</v>
      </c>
      <c r="G982" s="2">
        <f>117+119+124</f>
        <v>360</v>
      </c>
      <c r="H982" s="18">
        <f t="shared" si="57"/>
        <v>7.5</v>
      </c>
    </row>
    <row r="983" spans="1:8" ht="12.75">
      <c r="A983" s="14" t="s">
        <v>1386</v>
      </c>
      <c r="B983" s="15" t="s">
        <v>1717</v>
      </c>
      <c r="C983" s="2">
        <v>3</v>
      </c>
      <c r="D983" s="2">
        <f>29+25+24</f>
        <v>78</v>
      </c>
      <c r="E983" s="16">
        <f t="shared" si="56"/>
        <v>0.8571428571428571</v>
      </c>
      <c r="F983" s="2">
        <f>30+35+26</f>
        <v>91</v>
      </c>
      <c r="G983" s="2">
        <f>121+120+117</f>
        <v>358</v>
      </c>
      <c r="H983" s="18">
        <f t="shared" si="57"/>
        <v>7.458333333333333</v>
      </c>
    </row>
    <row r="984" spans="1:8" ht="12.75">
      <c r="A984" s="14" t="s">
        <v>1392</v>
      </c>
      <c r="B984" s="15" t="s">
        <v>1956</v>
      </c>
      <c r="C984" s="2">
        <v>4</v>
      </c>
      <c r="D984" s="2">
        <f>9+22+12+22</f>
        <v>65</v>
      </c>
      <c r="E984" s="16">
        <f t="shared" si="56"/>
        <v>0.7738095238095238</v>
      </c>
      <c r="F984" s="2">
        <f>14+27+20+23</f>
        <v>84</v>
      </c>
      <c r="G984" s="2">
        <f>58+111+82+102</f>
        <v>353</v>
      </c>
      <c r="H984" s="18">
        <f t="shared" si="57"/>
        <v>5.515625</v>
      </c>
    </row>
    <row r="985" spans="1:8" ht="12.75">
      <c r="A985" s="14" t="s">
        <v>150</v>
      </c>
      <c r="B985" s="15" t="s">
        <v>604</v>
      </c>
      <c r="C985" s="2">
        <v>3</v>
      </c>
      <c r="D985" s="2">
        <f>31+35+20</f>
        <v>86</v>
      </c>
      <c r="E985" s="16">
        <f t="shared" si="56"/>
        <v>0.86</v>
      </c>
      <c r="F985" s="2">
        <f>34+42+24</f>
        <v>100</v>
      </c>
      <c r="G985" s="2">
        <f>132+135+78</f>
        <v>345</v>
      </c>
      <c r="H985" s="18">
        <f t="shared" si="57"/>
        <v>7.1875</v>
      </c>
    </row>
    <row r="986" spans="1:8" ht="12.75">
      <c r="A986" s="14" t="s">
        <v>1399</v>
      </c>
      <c r="B986" s="15" t="s">
        <v>807</v>
      </c>
      <c r="C986" s="2">
        <v>3</v>
      </c>
      <c r="D986" s="2">
        <f>27+11+22</f>
        <v>60</v>
      </c>
      <c r="E986" s="16">
        <f t="shared" si="56"/>
        <v>0.6741573033707865</v>
      </c>
      <c r="F986" s="2">
        <f>37+19+33</f>
        <v>89</v>
      </c>
      <c r="G986" s="2">
        <f>130+72+111</f>
        <v>313</v>
      </c>
      <c r="H986" s="18">
        <f t="shared" si="57"/>
        <v>6.520833333333333</v>
      </c>
    </row>
    <row r="987" spans="1:8" ht="12.75">
      <c r="A987" s="14" t="s">
        <v>1397</v>
      </c>
      <c r="B987" s="15" t="s">
        <v>1986</v>
      </c>
      <c r="C987" s="2">
        <v>3</v>
      </c>
      <c r="D987" s="2">
        <f>18+20+15</f>
        <v>53</v>
      </c>
      <c r="E987" s="16">
        <f t="shared" si="56"/>
        <v>0.7571428571428571</v>
      </c>
      <c r="F987" s="2">
        <f>24+23+23</f>
        <v>70</v>
      </c>
      <c r="G987" s="2">
        <f>81+117+104</f>
        <v>302</v>
      </c>
      <c r="H987" s="18">
        <f t="shared" si="57"/>
        <v>6.291666666666667</v>
      </c>
    </row>
    <row r="988" spans="1:8" ht="12.75">
      <c r="A988" s="14" t="s">
        <v>394</v>
      </c>
      <c r="B988" s="15" t="s">
        <v>61</v>
      </c>
      <c r="C988" s="2">
        <v>3</v>
      </c>
      <c r="D988" s="2">
        <f>12+27+30</f>
        <v>69</v>
      </c>
      <c r="E988" s="16">
        <f t="shared" si="56"/>
        <v>0.8313253012048193</v>
      </c>
      <c r="F988" s="2">
        <f>17+32+34</f>
        <v>83</v>
      </c>
      <c r="G988" s="2">
        <f>63+113+123</f>
        <v>299</v>
      </c>
      <c r="H988" s="18">
        <f t="shared" si="57"/>
        <v>6.229166666666667</v>
      </c>
    </row>
    <row r="989" spans="1:8" ht="12.75">
      <c r="A989" s="14" t="s">
        <v>1400</v>
      </c>
      <c r="B989" s="15" t="s">
        <v>2019</v>
      </c>
      <c r="C989" s="2">
        <v>3</v>
      </c>
      <c r="D989" s="2">
        <f>15+27+23</f>
        <v>65</v>
      </c>
      <c r="E989" s="16">
        <f t="shared" si="56"/>
        <v>0.8024691358024691</v>
      </c>
      <c r="F989" s="2">
        <f>26+29+26</f>
        <v>81</v>
      </c>
      <c r="G989" s="2">
        <f>65+106+106</f>
        <v>277</v>
      </c>
      <c r="H989" s="18">
        <f t="shared" si="57"/>
        <v>5.770833333333333</v>
      </c>
    </row>
    <row r="990" spans="1:8" ht="12.75">
      <c r="A990" s="14" t="s">
        <v>960</v>
      </c>
      <c r="B990" s="15" t="s">
        <v>100</v>
      </c>
      <c r="C990" s="2">
        <v>2</v>
      </c>
      <c r="D990" s="2">
        <f>35+34</f>
        <v>69</v>
      </c>
      <c r="E990" s="16">
        <f t="shared" si="56"/>
        <v>0.8414634146341463</v>
      </c>
      <c r="F990" s="2">
        <f>44+38</f>
        <v>82</v>
      </c>
      <c r="G990" s="2">
        <f>142+129</f>
        <v>271</v>
      </c>
      <c r="H990" s="18">
        <f t="shared" si="57"/>
        <v>8.46875</v>
      </c>
    </row>
    <row r="991" spans="1:8" ht="12.75">
      <c r="A991" s="14" t="s">
        <v>623</v>
      </c>
      <c r="B991" s="15" t="s">
        <v>564</v>
      </c>
      <c r="C991" s="2">
        <v>2</v>
      </c>
      <c r="D991" s="2">
        <f>31+29</f>
        <v>60</v>
      </c>
      <c r="E991" s="16">
        <f t="shared" si="56"/>
        <v>0.8823529411764706</v>
      </c>
      <c r="F991" s="2">
        <f>34+34</f>
        <v>68</v>
      </c>
      <c r="G991" s="2">
        <f>131+132</f>
        <v>263</v>
      </c>
      <c r="H991" s="18">
        <f t="shared" si="57"/>
        <v>8.21875</v>
      </c>
    </row>
    <row r="992" spans="1:8" ht="12.75">
      <c r="A992" s="14" t="s">
        <v>939</v>
      </c>
      <c r="B992" s="15" t="s">
        <v>261</v>
      </c>
      <c r="C992" s="2">
        <v>2</v>
      </c>
      <c r="D992" s="2">
        <f>30+24</f>
        <v>54</v>
      </c>
      <c r="E992" s="16">
        <f t="shared" si="56"/>
        <v>0.7714285714285715</v>
      </c>
      <c r="F992" s="2">
        <f>41+29</f>
        <v>70</v>
      </c>
      <c r="G992" s="2">
        <f>121+121</f>
        <v>242</v>
      </c>
      <c r="H992" s="18">
        <f t="shared" si="57"/>
        <v>7.5625</v>
      </c>
    </row>
    <row r="993" spans="1:8" ht="12.75">
      <c r="A993" s="14" t="s">
        <v>1391</v>
      </c>
      <c r="B993" s="15" t="s">
        <v>1913</v>
      </c>
      <c r="C993" s="2">
        <v>2</v>
      </c>
      <c r="D993" s="2">
        <f>26+20</f>
        <v>46</v>
      </c>
      <c r="E993" s="16">
        <f t="shared" si="56"/>
        <v>0.8214285714285714</v>
      </c>
      <c r="F993" s="2">
        <f>31+25</f>
        <v>56</v>
      </c>
      <c r="G993" s="2">
        <f>111+91</f>
        <v>202</v>
      </c>
      <c r="H993" s="18">
        <f t="shared" si="57"/>
        <v>6.3125</v>
      </c>
    </row>
    <row r="994" spans="1:8" ht="12.75">
      <c r="A994" s="14" t="s">
        <v>1398</v>
      </c>
      <c r="B994" s="15" t="s">
        <v>1819</v>
      </c>
      <c r="C994" s="2">
        <v>2</v>
      </c>
      <c r="D994" s="2">
        <f>16+25</f>
        <v>41</v>
      </c>
      <c r="E994" s="16">
        <f t="shared" si="56"/>
        <v>0.7068965517241379</v>
      </c>
      <c r="F994" s="2">
        <f>23+35</f>
        <v>58</v>
      </c>
      <c r="G994" s="2">
        <f>72+119</f>
        <v>191</v>
      </c>
      <c r="H994" s="18">
        <f t="shared" si="57"/>
        <v>5.96875</v>
      </c>
    </row>
    <row r="995" spans="1:8" ht="12.75">
      <c r="A995" s="14" t="s">
        <v>779</v>
      </c>
      <c r="B995" s="15" t="s">
        <v>299</v>
      </c>
      <c r="C995" s="2">
        <v>2</v>
      </c>
      <c r="D995" s="2">
        <f>14+19</f>
        <v>33</v>
      </c>
      <c r="E995" s="16">
        <f t="shared" si="56"/>
        <v>0.7857142857142857</v>
      </c>
      <c r="F995" s="2">
        <f>16+26</f>
        <v>42</v>
      </c>
      <c r="G995" s="2">
        <f>83+103</f>
        <v>186</v>
      </c>
      <c r="H995" s="18">
        <f t="shared" si="57"/>
        <v>5.8125</v>
      </c>
    </row>
    <row r="996" spans="1:8" ht="12.75">
      <c r="A996" s="14" t="s">
        <v>1393</v>
      </c>
      <c r="B996" s="15" t="s">
        <v>1013</v>
      </c>
      <c r="C996" s="2">
        <v>1</v>
      </c>
      <c r="D996" s="2">
        <v>17</v>
      </c>
      <c r="E996" s="16">
        <f t="shared" si="56"/>
        <v>0.68</v>
      </c>
      <c r="F996" s="2">
        <v>25</v>
      </c>
      <c r="G996" s="2">
        <v>109</v>
      </c>
      <c r="H996" s="18">
        <f t="shared" si="57"/>
        <v>6.8125</v>
      </c>
    </row>
    <row r="997" spans="1:8" ht="12.75">
      <c r="A997" s="14"/>
      <c r="B997" s="15"/>
      <c r="D997" s="2"/>
      <c r="E997" s="16"/>
      <c r="F997" s="2"/>
      <c r="G997" s="2"/>
      <c r="H997" s="18"/>
    </row>
    <row r="998" spans="1:8" ht="12.75">
      <c r="A998" s="21" t="s">
        <v>998</v>
      </c>
      <c r="B998" s="22"/>
      <c r="C998" s="23">
        <f>SUM(C960:C997)</f>
        <v>156</v>
      </c>
      <c r="D998" s="23">
        <f>SUM(D960:D997)</f>
        <v>3864</v>
      </c>
      <c r="E998" s="31">
        <f>IF(F998=0,0,D998/F998)</f>
        <v>0.8188175460902734</v>
      </c>
      <c r="F998" s="23">
        <f>SUM(F960:F997)</f>
        <v>4719</v>
      </c>
      <c r="G998" s="23">
        <f>SUM(G960:G997)</f>
        <v>17385</v>
      </c>
      <c r="H998" s="28">
        <f>IF(C998=0,0,G998/C998/16)</f>
        <v>6.965144230769231</v>
      </c>
    </row>
    <row r="999" spans="1:7" ht="12.75">
      <c r="A999" s="14"/>
      <c r="B999" s="30"/>
      <c r="G999" s="29"/>
    </row>
    <row r="1000" spans="1:2" ht="12.75">
      <c r="A1000" s="14"/>
      <c r="B1000" s="30"/>
    </row>
    <row r="1001" spans="1:4" ht="12.75">
      <c r="A1001" s="32"/>
      <c r="B1001" s="33"/>
      <c r="C1001" s="34"/>
      <c r="D1001" s="35"/>
    </row>
    <row r="1002" spans="1:7" ht="15.75">
      <c r="A1002" s="5" t="s">
        <v>1009</v>
      </c>
      <c r="B1002" s="6" t="s">
        <v>986</v>
      </c>
      <c r="C1002" s="7" t="s">
        <v>1036</v>
      </c>
      <c r="D1002" s="8"/>
      <c r="E1002" s="9" t="s">
        <v>1009</v>
      </c>
      <c r="G1002" s="9" t="s">
        <v>1945</v>
      </c>
    </row>
    <row r="1003" spans="1:2" ht="12.75">
      <c r="A1003" s="14"/>
      <c r="B1003" s="15"/>
    </row>
    <row r="1004" spans="1:7" ht="12.75">
      <c r="A1004" s="36" t="s">
        <v>1427</v>
      </c>
      <c r="B1004" s="15" t="s">
        <v>1866</v>
      </c>
      <c r="C1004" s="2">
        <v>7</v>
      </c>
      <c r="E1004" s="2">
        <f>10+5+8+9+11+4+1</f>
        <v>48</v>
      </c>
      <c r="G1004" s="18">
        <f aca="true" t="shared" si="58" ref="G1004:G1067">IF(C1004=0,0,E1004/C1004)</f>
        <v>6.857142857142857</v>
      </c>
    </row>
    <row r="1005" spans="1:7" ht="12.75">
      <c r="A1005" s="36" t="s">
        <v>1408</v>
      </c>
      <c r="B1005" s="15" t="s">
        <v>946</v>
      </c>
      <c r="C1005" s="2">
        <v>6</v>
      </c>
      <c r="E1005" s="2">
        <f>4+10+2+7+11+9</f>
        <v>43</v>
      </c>
      <c r="G1005" s="18">
        <f t="shared" si="58"/>
        <v>7.166666666666667</v>
      </c>
    </row>
    <row r="1006" spans="1:7" ht="12.75">
      <c r="A1006" s="36" t="s">
        <v>1406</v>
      </c>
      <c r="B1006" s="15" t="s">
        <v>699</v>
      </c>
      <c r="C1006" s="2">
        <v>7</v>
      </c>
      <c r="E1006" s="2">
        <f>9+11+4+7+5+2+3</f>
        <v>41</v>
      </c>
      <c r="G1006" s="18">
        <f t="shared" si="58"/>
        <v>5.857142857142857</v>
      </c>
    </row>
    <row r="1007" spans="1:7" ht="12.75">
      <c r="A1007" s="36" t="s">
        <v>1430</v>
      </c>
      <c r="B1007" s="15" t="s">
        <v>855</v>
      </c>
      <c r="C1007" s="2">
        <v>5</v>
      </c>
      <c r="E1007" s="2">
        <f>7+5+6+7+15</f>
        <v>40</v>
      </c>
      <c r="G1007" s="18">
        <f t="shared" si="58"/>
        <v>8</v>
      </c>
    </row>
    <row r="1008" spans="1:7" ht="12.75">
      <c r="A1008" s="36" t="s">
        <v>1926</v>
      </c>
      <c r="B1008" s="15" t="s">
        <v>967</v>
      </c>
      <c r="C1008" s="2">
        <v>4</v>
      </c>
      <c r="E1008" s="2">
        <f>12+11+4+12</f>
        <v>39</v>
      </c>
      <c r="G1008" s="18">
        <f t="shared" si="58"/>
        <v>9.75</v>
      </c>
    </row>
    <row r="1009" spans="1:7" ht="12.75">
      <c r="A1009" s="36" t="s">
        <v>1602</v>
      </c>
      <c r="B1009" s="15" t="s">
        <v>688</v>
      </c>
      <c r="C1009" s="2">
        <v>5</v>
      </c>
      <c r="E1009" s="4">
        <f>8+10+8+8+5</f>
        <v>39</v>
      </c>
      <c r="G1009" s="18">
        <f t="shared" si="58"/>
        <v>7.8</v>
      </c>
    </row>
    <row r="1010" spans="1:7" ht="12.75">
      <c r="A1010" s="36" t="s">
        <v>1434</v>
      </c>
      <c r="B1010" s="15" t="s">
        <v>724</v>
      </c>
      <c r="C1010" s="2">
        <v>6</v>
      </c>
      <c r="D1010" s="37"/>
      <c r="E1010" s="2">
        <f>8+4+5+3+12+7</f>
        <v>39</v>
      </c>
      <c r="G1010" s="18">
        <f t="shared" si="58"/>
        <v>6.5</v>
      </c>
    </row>
    <row r="1011" spans="1:7" ht="12.75">
      <c r="A1011" s="36" t="s">
        <v>1402</v>
      </c>
      <c r="B1011" s="15" t="s">
        <v>707</v>
      </c>
      <c r="C1011" s="2">
        <v>6</v>
      </c>
      <c r="E1011" s="2">
        <f>12+11+3+4+4+5</f>
        <v>39</v>
      </c>
      <c r="G1011" s="18">
        <f t="shared" si="58"/>
        <v>6.5</v>
      </c>
    </row>
    <row r="1012" spans="1:7" ht="12.75">
      <c r="A1012" s="36" t="s">
        <v>1925</v>
      </c>
      <c r="B1012" s="15" t="s">
        <v>504</v>
      </c>
      <c r="C1012" s="2">
        <v>5</v>
      </c>
      <c r="D1012" s="37"/>
      <c r="E1012" s="2">
        <f>3+7+13+12+3</f>
        <v>38</v>
      </c>
      <c r="G1012" s="18">
        <f t="shared" si="58"/>
        <v>7.6</v>
      </c>
    </row>
    <row r="1013" spans="1:7" ht="12.75">
      <c r="A1013" s="36" t="s">
        <v>1405</v>
      </c>
      <c r="B1013" s="15" t="s">
        <v>902</v>
      </c>
      <c r="C1013" s="2">
        <v>6</v>
      </c>
      <c r="E1013" s="2">
        <f>11+9+4+2+6+6</f>
        <v>38</v>
      </c>
      <c r="G1013" s="18">
        <f t="shared" si="58"/>
        <v>6.333333333333333</v>
      </c>
    </row>
    <row r="1014" spans="1:7" ht="12.75">
      <c r="A1014" s="36" t="s">
        <v>1451</v>
      </c>
      <c r="B1014" s="15" t="s">
        <v>101</v>
      </c>
      <c r="C1014" s="2">
        <v>7</v>
      </c>
      <c r="E1014" s="2">
        <f>3+4+5+7+1+9+8</f>
        <v>37</v>
      </c>
      <c r="G1014" s="18">
        <f t="shared" si="58"/>
        <v>5.285714285714286</v>
      </c>
    </row>
    <row r="1015" spans="1:7" ht="12.75">
      <c r="A1015" s="36" t="s">
        <v>1431</v>
      </c>
      <c r="B1015" s="15" t="s">
        <v>314</v>
      </c>
      <c r="C1015" s="2">
        <v>6</v>
      </c>
      <c r="E1015" s="2">
        <f>5+10+1+6+7+6</f>
        <v>35</v>
      </c>
      <c r="G1015" s="18">
        <f t="shared" si="58"/>
        <v>5.833333333333333</v>
      </c>
    </row>
    <row r="1016" spans="1:7" ht="12.75">
      <c r="A1016" s="36" t="s">
        <v>184</v>
      </c>
      <c r="B1016" s="15" t="s">
        <v>306</v>
      </c>
      <c r="C1016" s="2">
        <v>4</v>
      </c>
      <c r="E1016" s="4">
        <f>15+7+5+7</f>
        <v>34</v>
      </c>
      <c r="G1016" s="18">
        <f t="shared" si="58"/>
        <v>8.5</v>
      </c>
    </row>
    <row r="1017" spans="1:7" ht="12.75">
      <c r="A1017" s="36" t="s">
        <v>1433</v>
      </c>
      <c r="B1017" s="15" t="s">
        <v>251</v>
      </c>
      <c r="C1017" s="2">
        <v>4</v>
      </c>
      <c r="E1017" s="2">
        <f>5+11+7+11</f>
        <v>34</v>
      </c>
      <c r="G1017" s="18">
        <f t="shared" si="58"/>
        <v>8.5</v>
      </c>
    </row>
    <row r="1018" spans="1:7" ht="12.75">
      <c r="A1018" s="36" t="s">
        <v>1517</v>
      </c>
      <c r="B1018" s="15" t="s">
        <v>574</v>
      </c>
      <c r="C1018" s="2">
        <v>5</v>
      </c>
      <c r="E1018" s="2">
        <f>1+5+8+6+14</f>
        <v>34</v>
      </c>
      <c r="G1018" s="18">
        <f t="shared" si="58"/>
        <v>6.8</v>
      </c>
    </row>
    <row r="1019" spans="1:7" ht="12.75">
      <c r="A1019" s="36" t="s">
        <v>1457</v>
      </c>
      <c r="B1019" s="15" t="s">
        <v>95</v>
      </c>
      <c r="C1019" s="2">
        <v>6</v>
      </c>
      <c r="E1019" s="2">
        <f>12+3+3+3+7+6</f>
        <v>34</v>
      </c>
      <c r="G1019" s="18">
        <f t="shared" si="58"/>
        <v>5.666666666666667</v>
      </c>
    </row>
    <row r="1020" spans="1:7" ht="12.75">
      <c r="A1020" s="36" t="s">
        <v>1417</v>
      </c>
      <c r="B1020" s="15" t="s">
        <v>735</v>
      </c>
      <c r="C1020" s="2">
        <v>6</v>
      </c>
      <c r="E1020" s="2">
        <f>5+7+10+4+2+5</f>
        <v>33</v>
      </c>
      <c r="G1020" s="18">
        <f t="shared" si="58"/>
        <v>5.5</v>
      </c>
    </row>
    <row r="1021" spans="1:7" ht="12.75">
      <c r="A1021" s="36" t="s">
        <v>1403</v>
      </c>
      <c r="B1021" s="15" t="s">
        <v>444</v>
      </c>
      <c r="C1021" s="2">
        <v>6</v>
      </c>
      <c r="E1021" s="2">
        <f>3+12+11+1+3+2</f>
        <v>32</v>
      </c>
      <c r="G1021" s="18">
        <f t="shared" si="58"/>
        <v>5.333333333333333</v>
      </c>
    </row>
    <row r="1022" spans="1:7" ht="12.75">
      <c r="A1022" s="36" t="s">
        <v>170</v>
      </c>
      <c r="B1022" s="15" t="s">
        <v>685</v>
      </c>
      <c r="C1022" s="2">
        <v>4</v>
      </c>
      <c r="E1022" s="4">
        <f>5+13+4+9</f>
        <v>31</v>
      </c>
      <c r="G1022" s="18">
        <f t="shared" si="58"/>
        <v>7.75</v>
      </c>
    </row>
    <row r="1023" spans="1:7" ht="12.75">
      <c r="A1023" s="36" t="s">
        <v>223</v>
      </c>
      <c r="B1023" s="15" t="s">
        <v>761</v>
      </c>
      <c r="C1023" s="2">
        <v>4</v>
      </c>
      <c r="E1023" s="4">
        <f>2+7+11+11</f>
        <v>31</v>
      </c>
      <c r="G1023" s="18">
        <f t="shared" si="58"/>
        <v>7.75</v>
      </c>
    </row>
    <row r="1024" spans="1:7" ht="12.75">
      <c r="A1024" s="36" t="s">
        <v>1605</v>
      </c>
      <c r="B1024" s="15" t="s">
        <v>910</v>
      </c>
      <c r="C1024" s="2">
        <v>6</v>
      </c>
      <c r="E1024" s="4">
        <f>4+6+9+1+5+6</f>
        <v>31</v>
      </c>
      <c r="G1024" s="18">
        <f t="shared" si="58"/>
        <v>5.166666666666667</v>
      </c>
    </row>
    <row r="1025" spans="1:7" ht="12.75">
      <c r="A1025" s="36" t="s">
        <v>1413</v>
      </c>
      <c r="B1025" s="15" t="s">
        <v>690</v>
      </c>
      <c r="C1025" s="2">
        <v>6</v>
      </c>
      <c r="E1025" s="2">
        <f>7+8+8+2+2+3</f>
        <v>30</v>
      </c>
      <c r="G1025" s="18">
        <f t="shared" si="58"/>
        <v>5</v>
      </c>
    </row>
    <row r="1026" spans="1:7" ht="12.75">
      <c r="A1026" s="36" t="s">
        <v>1476</v>
      </c>
      <c r="B1026" s="15" t="s">
        <v>638</v>
      </c>
      <c r="C1026" s="2">
        <v>7</v>
      </c>
      <c r="E1026" s="2">
        <f>3+2+4+3+9+3+6</f>
        <v>30</v>
      </c>
      <c r="G1026" s="18">
        <f t="shared" si="58"/>
        <v>4.285714285714286</v>
      </c>
    </row>
    <row r="1027" spans="1:7" ht="12.75">
      <c r="A1027" s="36" t="s">
        <v>1426</v>
      </c>
      <c r="B1027" s="15" t="s">
        <v>769</v>
      </c>
      <c r="C1027" s="2">
        <v>5</v>
      </c>
      <c r="E1027" s="39">
        <f>2+6+2+14+5</f>
        <v>29</v>
      </c>
      <c r="G1027" s="18">
        <f t="shared" si="58"/>
        <v>5.8</v>
      </c>
    </row>
    <row r="1028" spans="1:7" ht="12.75">
      <c r="A1028" s="36" t="s">
        <v>1429</v>
      </c>
      <c r="B1028" s="15" t="s">
        <v>851</v>
      </c>
      <c r="C1028" s="2">
        <v>6</v>
      </c>
      <c r="E1028" s="2">
        <f>4+5+6+3+5+3</f>
        <v>26</v>
      </c>
      <c r="G1028" s="18">
        <f t="shared" si="58"/>
        <v>4.333333333333333</v>
      </c>
    </row>
    <row r="1029" spans="1:7" ht="12.75">
      <c r="A1029" s="36" t="s">
        <v>1529</v>
      </c>
      <c r="B1029" s="15" t="s">
        <v>723</v>
      </c>
      <c r="C1029" s="2">
        <v>4</v>
      </c>
      <c r="E1029" s="2">
        <f>1+14+1+9</f>
        <v>25</v>
      </c>
      <c r="G1029" s="18">
        <f t="shared" si="58"/>
        <v>6.25</v>
      </c>
    </row>
    <row r="1030" spans="1:7" ht="12.75">
      <c r="A1030" s="36" t="s">
        <v>1504</v>
      </c>
      <c r="B1030" s="15" t="s">
        <v>77</v>
      </c>
      <c r="C1030" s="2">
        <v>5</v>
      </c>
      <c r="E1030" s="2">
        <f>2+4+6+7+6</f>
        <v>25</v>
      </c>
      <c r="G1030" s="18">
        <f t="shared" si="58"/>
        <v>5</v>
      </c>
    </row>
    <row r="1031" spans="1:7" ht="12.75">
      <c r="A1031" s="36" t="s">
        <v>1416</v>
      </c>
      <c r="B1031" s="15" t="s">
        <v>1872</v>
      </c>
      <c r="C1031" s="2">
        <v>5</v>
      </c>
      <c r="E1031" s="2">
        <f>7+5+1+9+1</f>
        <v>23</v>
      </c>
      <c r="G1031" s="18">
        <f t="shared" si="58"/>
        <v>4.6</v>
      </c>
    </row>
    <row r="1032" spans="1:7" ht="12.75">
      <c r="A1032" s="36" t="s">
        <v>1601</v>
      </c>
      <c r="B1032" t="s">
        <v>810</v>
      </c>
      <c r="C1032" s="2">
        <v>5</v>
      </c>
      <c r="E1032" s="4">
        <f>13+3+5+1+1</f>
        <v>23</v>
      </c>
      <c r="G1032" s="18">
        <f t="shared" si="58"/>
        <v>4.6</v>
      </c>
    </row>
    <row r="1033" spans="1:7" ht="12.75">
      <c r="A1033" s="36" t="s">
        <v>1927</v>
      </c>
      <c r="B1033" s="15" t="s">
        <v>272</v>
      </c>
      <c r="C1033" s="2">
        <v>5</v>
      </c>
      <c r="E1033" s="2">
        <f>4+1+2+9+7</f>
        <v>23</v>
      </c>
      <c r="G1033" s="18">
        <f t="shared" si="58"/>
        <v>4.6</v>
      </c>
    </row>
    <row r="1034" spans="1:7" ht="12.75">
      <c r="A1034" s="36" t="s">
        <v>1826</v>
      </c>
      <c r="B1034" s="15" t="s">
        <v>63</v>
      </c>
      <c r="C1034" s="2">
        <v>3</v>
      </c>
      <c r="E1034" s="2">
        <f>1+11+10</f>
        <v>22</v>
      </c>
      <c r="G1034" s="18">
        <f t="shared" si="58"/>
        <v>7.333333333333333</v>
      </c>
    </row>
    <row r="1035" spans="1:7" ht="12.75">
      <c r="A1035" s="36" t="s">
        <v>1438</v>
      </c>
      <c r="B1035" s="15" t="s">
        <v>484</v>
      </c>
      <c r="C1035" s="2">
        <v>4</v>
      </c>
      <c r="E1035" s="2">
        <f>6+4+9+3</f>
        <v>22</v>
      </c>
      <c r="G1035" s="18">
        <f t="shared" si="58"/>
        <v>5.5</v>
      </c>
    </row>
    <row r="1036" spans="1:7" ht="12.75">
      <c r="A1036" s="36" t="s">
        <v>1484</v>
      </c>
      <c r="B1036" s="15" t="s">
        <v>1261</v>
      </c>
      <c r="C1036" s="2">
        <v>4</v>
      </c>
      <c r="E1036" s="2">
        <f>2+4+8+8</f>
        <v>22</v>
      </c>
      <c r="G1036" s="18">
        <f t="shared" si="58"/>
        <v>5.5</v>
      </c>
    </row>
    <row r="1037" spans="1:7" ht="12.75">
      <c r="A1037" s="36" t="s">
        <v>1585</v>
      </c>
      <c r="B1037" s="15" t="s">
        <v>64</v>
      </c>
      <c r="C1037" s="2">
        <v>6</v>
      </c>
      <c r="E1037" s="2">
        <f>1+9+1+2+5+4</f>
        <v>22</v>
      </c>
      <c r="G1037" s="18">
        <f t="shared" si="58"/>
        <v>3.6666666666666665</v>
      </c>
    </row>
    <row r="1038" spans="1:7" ht="12.75">
      <c r="A1038" s="36" t="s">
        <v>1411</v>
      </c>
      <c r="B1038" s="15" t="s">
        <v>648</v>
      </c>
      <c r="C1038" s="2">
        <v>5</v>
      </c>
      <c r="E1038" s="2">
        <f>8+3+5+4+1</f>
        <v>21</v>
      </c>
      <c r="G1038" s="18">
        <f t="shared" si="58"/>
        <v>4.2</v>
      </c>
    </row>
    <row r="1039" spans="1:7" ht="12.75">
      <c r="A1039" s="36" t="s">
        <v>598</v>
      </c>
      <c r="B1039" s="15" t="s">
        <v>752</v>
      </c>
      <c r="C1039" s="2">
        <v>2</v>
      </c>
      <c r="E1039" s="4">
        <f>11+9</f>
        <v>20</v>
      </c>
      <c r="G1039" s="18">
        <f t="shared" si="58"/>
        <v>10</v>
      </c>
    </row>
    <row r="1040" spans="1:7" ht="12.75">
      <c r="A1040" s="36" t="s">
        <v>1412</v>
      </c>
      <c r="B1040" s="15" t="s">
        <v>2030</v>
      </c>
      <c r="C1040" s="2">
        <v>3</v>
      </c>
      <c r="E1040" s="2">
        <f>8+10+2</f>
        <v>20</v>
      </c>
      <c r="G1040" s="18">
        <f t="shared" si="58"/>
        <v>6.666666666666667</v>
      </c>
    </row>
    <row r="1041" spans="1:7" ht="12.75">
      <c r="A1041" s="36" t="s">
        <v>1508</v>
      </c>
      <c r="B1041" s="15" t="s">
        <v>161</v>
      </c>
      <c r="C1041" s="2">
        <v>4</v>
      </c>
      <c r="D1041" s="37"/>
      <c r="E1041" s="2">
        <f>6+1+6+7</f>
        <v>20</v>
      </c>
      <c r="G1041" s="18">
        <f t="shared" si="58"/>
        <v>5</v>
      </c>
    </row>
    <row r="1042" spans="1:7" ht="12.75">
      <c r="A1042" s="36" t="s">
        <v>1415</v>
      </c>
      <c r="B1042" s="15" t="s">
        <v>275</v>
      </c>
      <c r="C1042" s="2">
        <v>4</v>
      </c>
      <c r="E1042" s="2">
        <f>7+7+4+2</f>
        <v>20</v>
      </c>
      <c r="G1042" s="18">
        <f t="shared" si="58"/>
        <v>5</v>
      </c>
    </row>
    <row r="1043" spans="1:7" ht="12.75">
      <c r="A1043" s="36" t="s">
        <v>79</v>
      </c>
      <c r="B1043" s="15" t="s">
        <v>80</v>
      </c>
      <c r="C1043" s="2">
        <v>4</v>
      </c>
      <c r="E1043" s="2">
        <f>7+7+3+3</f>
        <v>20</v>
      </c>
      <c r="G1043" s="18">
        <f t="shared" si="58"/>
        <v>5</v>
      </c>
    </row>
    <row r="1044" spans="1:7" ht="12.75">
      <c r="A1044" s="36" t="s">
        <v>175</v>
      </c>
      <c r="B1044" s="15" t="s">
        <v>58</v>
      </c>
      <c r="C1044" s="2">
        <v>4</v>
      </c>
      <c r="E1044" s="4">
        <f>8+4+6+2</f>
        <v>20</v>
      </c>
      <c r="G1044" s="18">
        <f t="shared" si="58"/>
        <v>5</v>
      </c>
    </row>
    <row r="1045" spans="1:7" ht="12.75">
      <c r="A1045" s="36" t="s">
        <v>1414</v>
      </c>
      <c r="B1045" s="15" t="s">
        <v>320</v>
      </c>
      <c r="C1045" s="2">
        <v>5</v>
      </c>
      <c r="E1045" s="2">
        <f>6+8+2+1+3</f>
        <v>20</v>
      </c>
      <c r="G1045" s="18">
        <f t="shared" si="58"/>
        <v>4</v>
      </c>
    </row>
    <row r="1046" spans="1:7" ht="12.75">
      <c r="A1046" s="36" t="s">
        <v>1500</v>
      </c>
      <c r="B1046" s="15" t="s">
        <v>441</v>
      </c>
      <c r="C1046" s="2">
        <v>6</v>
      </c>
      <c r="E1046" s="2">
        <f>2+11+1+1+4+1</f>
        <v>20</v>
      </c>
      <c r="G1046" s="18">
        <f t="shared" si="58"/>
        <v>3.3333333333333335</v>
      </c>
    </row>
    <row r="1047" spans="1:7" ht="12.75">
      <c r="A1047" s="36" t="s">
        <v>1715</v>
      </c>
      <c r="B1047" s="15" t="s">
        <v>558</v>
      </c>
      <c r="C1047" s="2">
        <v>4</v>
      </c>
      <c r="E1047" s="2">
        <f>5+7+2+5</f>
        <v>19</v>
      </c>
      <c r="G1047" s="18">
        <f t="shared" si="58"/>
        <v>4.75</v>
      </c>
    </row>
    <row r="1048" spans="1:7" ht="12.75">
      <c r="A1048" s="36" t="s">
        <v>1410</v>
      </c>
      <c r="B1048" s="15" t="s">
        <v>651</v>
      </c>
      <c r="C1048" s="2">
        <v>5</v>
      </c>
      <c r="E1048" s="2">
        <f>5+9+1+2+2</f>
        <v>19</v>
      </c>
      <c r="G1048" s="18">
        <f t="shared" si="58"/>
        <v>3.8</v>
      </c>
    </row>
    <row r="1049" spans="1:7" ht="12.75">
      <c r="A1049" s="36" t="s">
        <v>1593</v>
      </c>
      <c r="B1049" s="15" t="s">
        <v>848</v>
      </c>
      <c r="C1049" s="2">
        <v>5</v>
      </c>
      <c r="E1049" s="2">
        <f>1+3+8+3+4</f>
        <v>19</v>
      </c>
      <c r="G1049" s="18">
        <f t="shared" si="58"/>
        <v>3.8</v>
      </c>
    </row>
    <row r="1050" spans="1:7" ht="12.75">
      <c r="A1050" s="36" t="s">
        <v>669</v>
      </c>
      <c r="B1050" s="15" t="s">
        <v>683</v>
      </c>
      <c r="C1050" s="2">
        <v>2</v>
      </c>
      <c r="E1050" s="4">
        <f>15+3</f>
        <v>18</v>
      </c>
      <c r="G1050" s="18">
        <f t="shared" si="58"/>
        <v>9</v>
      </c>
    </row>
    <row r="1051" spans="1:7" ht="12.75">
      <c r="A1051" s="36" t="s">
        <v>964</v>
      </c>
      <c r="B1051" s="15" t="s">
        <v>100</v>
      </c>
      <c r="C1051" s="2">
        <v>2</v>
      </c>
      <c r="E1051" s="4">
        <f>9+9</f>
        <v>18</v>
      </c>
      <c r="G1051" s="18">
        <f t="shared" si="58"/>
        <v>9</v>
      </c>
    </row>
    <row r="1052" spans="1:7" ht="12.75">
      <c r="A1052" s="36" t="s">
        <v>156</v>
      </c>
      <c r="B1052" s="15" t="s">
        <v>580</v>
      </c>
      <c r="C1052" s="2">
        <v>3</v>
      </c>
      <c r="E1052" s="4">
        <f>1+8+9</f>
        <v>18</v>
      </c>
      <c r="G1052" s="18">
        <f t="shared" si="58"/>
        <v>6</v>
      </c>
    </row>
    <row r="1053" spans="1:7" ht="12.75">
      <c r="A1053" s="1" t="s">
        <v>1401</v>
      </c>
      <c r="B1053" s="15" t="s">
        <v>430</v>
      </c>
      <c r="C1053" s="2">
        <v>3</v>
      </c>
      <c r="E1053" s="2">
        <f>13+1+4</f>
        <v>18</v>
      </c>
      <c r="G1053" s="18">
        <f t="shared" si="58"/>
        <v>6</v>
      </c>
    </row>
    <row r="1054" spans="1:7" ht="12.75">
      <c r="A1054" s="36" t="s">
        <v>219</v>
      </c>
      <c r="B1054" s="15" t="s">
        <v>763</v>
      </c>
      <c r="C1054" s="2">
        <v>3</v>
      </c>
      <c r="E1054" s="4">
        <f>3+10+5</f>
        <v>18</v>
      </c>
      <c r="G1054" s="18">
        <f t="shared" si="58"/>
        <v>6</v>
      </c>
    </row>
    <row r="1055" spans="1:7" ht="12.75">
      <c r="A1055" s="36" t="s">
        <v>1446</v>
      </c>
      <c r="B1055" s="15" t="s">
        <v>435</v>
      </c>
      <c r="C1055" s="2">
        <v>4</v>
      </c>
      <c r="E1055" s="2">
        <f>4+10+1+3</f>
        <v>18</v>
      </c>
      <c r="G1055" s="18">
        <f t="shared" si="58"/>
        <v>4.5</v>
      </c>
    </row>
    <row r="1056" spans="1:7" ht="12.75">
      <c r="A1056" s="36" t="s">
        <v>1496</v>
      </c>
      <c r="B1056" s="15" t="s">
        <v>886</v>
      </c>
      <c r="C1056" s="2">
        <v>4</v>
      </c>
      <c r="E1056" s="2">
        <f>2+9+5+2</f>
        <v>18</v>
      </c>
      <c r="G1056" s="18">
        <f t="shared" si="58"/>
        <v>4.5</v>
      </c>
    </row>
    <row r="1057" spans="1:7" ht="12.75">
      <c r="A1057" s="36" t="s">
        <v>1419</v>
      </c>
      <c r="B1057" s="15" t="s">
        <v>942</v>
      </c>
      <c r="C1057" s="2">
        <v>4</v>
      </c>
      <c r="E1057" s="2">
        <f>1+7+8+2</f>
        <v>18</v>
      </c>
      <c r="G1057" s="18">
        <f t="shared" si="58"/>
        <v>4.5</v>
      </c>
    </row>
    <row r="1058" spans="1:7" ht="12.75">
      <c r="A1058" s="36" t="s">
        <v>1928</v>
      </c>
      <c r="B1058" s="15" t="s">
        <v>720</v>
      </c>
      <c r="C1058" s="2">
        <v>4</v>
      </c>
      <c r="E1058" s="2">
        <f>5+3+6+4</f>
        <v>18</v>
      </c>
      <c r="G1058" s="18">
        <f t="shared" si="58"/>
        <v>4.5</v>
      </c>
    </row>
    <row r="1059" spans="1:7" ht="12.75">
      <c r="A1059" s="36" t="s">
        <v>1421</v>
      </c>
      <c r="B1059" s="15" t="s">
        <v>739</v>
      </c>
      <c r="C1059" s="2">
        <v>5</v>
      </c>
      <c r="E1059" s="39">
        <f>6+5+1+1+5</f>
        <v>18</v>
      </c>
      <c r="G1059" s="18">
        <f t="shared" si="58"/>
        <v>3.6</v>
      </c>
    </row>
    <row r="1060" spans="1:7" ht="12.75">
      <c r="A1060" s="36" t="s">
        <v>1481</v>
      </c>
      <c r="B1060" s="15" t="s">
        <v>90</v>
      </c>
      <c r="C1060" s="2">
        <v>6</v>
      </c>
      <c r="E1060" s="2">
        <f>8+2+1+1+3+3</f>
        <v>18</v>
      </c>
      <c r="G1060" s="18">
        <f t="shared" si="58"/>
        <v>3</v>
      </c>
    </row>
    <row r="1061" spans="1:7" ht="12.75">
      <c r="A1061" s="36" t="s">
        <v>1439</v>
      </c>
      <c r="B1061" s="15" t="s">
        <v>764</v>
      </c>
      <c r="C1061" s="2">
        <v>6</v>
      </c>
      <c r="E1061" s="2">
        <f>2+4+1+3+4+4</f>
        <v>18</v>
      </c>
      <c r="G1061" s="18">
        <f t="shared" si="58"/>
        <v>3</v>
      </c>
    </row>
    <row r="1062" spans="1:7" ht="12.75">
      <c r="A1062" s="36" t="s">
        <v>1407</v>
      </c>
      <c r="B1062" s="15" t="s">
        <v>1184</v>
      </c>
      <c r="C1062" s="2">
        <v>2</v>
      </c>
      <c r="E1062" s="2">
        <f>6+11</f>
        <v>17</v>
      </c>
      <c r="G1062" s="18">
        <f t="shared" si="58"/>
        <v>8.5</v>
      </c>
    </row>
    <row r="1063" spans="1:7" ht="12.75">
      <c r="A1063" s="36" t="s">
        <v>869</v>
      </c>
      <c r="B1063" s="15" t="s">
        <v>315</v>
      </c>
      <c r="C1063" s="2">
        <v>2</v>
      </c>
      <c r="E1063" s="4">
        <f>9+8</f>
        <v>17</v>
      </c>
      <c r="G1063" s="18">
        <f t="shared" si="58"/>
        <v>8.5</v>
      </c>
    </row>
    <row r="1064" spans="1:7" ht="12.75">
      <c r="A1064" s="36" t="s">
        <v>228</v>
      </c>
      <c r="B1064" s="15" t="s">
        <v>67</v>
      </c>
      <c r="C1064" s="2">
        <v>4</v>
      </c>
      <c r="E1064" s="4">
        <f>1+9+6+1</f>
        <v>17</v>
      </c>
      <c r="G1064" s="18">
        <f t="shared" si="58"/>
        <v>4.25</v>
      </c>
    </row>
    <row r="1065" spans="1:7" ht="12.75">
      <c r="A1065" s="36" t="s">
        <v>963</v>
      </c>
      <c r="B1065" s="15" t="s">
        <v>100</v>
      </c>
      <c r="C1065" s="2">
        <v>2</v>
      </c>
      <c r="E1065" s="4">
        <f>8+8</f>
        <v>16</v>
      </c>
      <c r="G1065" s="18">
        <f t="shared" si="58"/>
        <v>8</v>
      </c>
    </row>
    <row r="1066" spans="1:7" ht="12.75">
      <c r="A1066" s="36" t="s">
        <v>244</v>
      </c>
      <c r="B1066" s="15" t="s">
        <v>644</v>
      </c>
      <c r="C1066" s="2">
        <v>3</v>
      </c>
      <c r="E1066" s="4">
        <f>4+6+6</f>
        <v>16</v>
      </c>
      <c r="G1066" s="18">
        <f t="shared" si="58"/>
        <v>5.333333333333333</v>
      </c>
    </row>
    <row r="1067" spans="1:7" ht="12.75">
      <c r="A1067" s="36" t="s">
        <v>1470</v>
      </c>
      <c r="B1067" s="15" t="s">
        <v>1889</v>
      </c>
      <c r="C1067" s="2">
        <v>3</v>
      </c>
      <c r="E1067" s="2">
        <f>2+3+11</f>
        <v>16</v>
      </c>
      <c r="G1067" s="18">
        <f t="shared" si="58"/>
        <v>5.333333333333333</v>
      </c>
    </row>
    <row r="1068" spans="1:7" ht="12.75">
      <c r="A1068" s="36" t="s">
        <v>1447</v>
      </c>
      <c r="B1068" s="15" t="s">
        <v>452</v>
      </c>
      <c r="C1068" s="2">
        <v>4</v>
      </c>
      <c r="E1068" s="2">
        <f>6+4+2+4</f>
        <v>16</v>
      </c>
      <c r="G1068" s="18">
        <f aca="true" t="shared" si="59" ref="G1068:G1131">IF(C1068=0,0,E1068/C1068)</f>
        <v>4</v>
      </c>
    </row>
    <row r="1069" spans="1:7" ht="12.75">
      <c r="A1069" s="36" t="s">
        <v>1619</v>
      </c>
      <c r="B1069" s="15" t="s">
        <v>905</v>
      </c>
      <c r="C1069" s="2">
        <v>5</v>
      </c>
      <c r="E1069" s="4">
        <f>2+1+2+5+6</f>
        <v>16</v>
      </c>
      <c r="G1069" s="18">
        <f t="shared" si="59"/>
        <v>3.2</v>
      </c>
    </row>
    <row r="1070" spans="1:7" ht="12.75">
      <c r="A1070" s="36" t="s">
        <v>1432</v>
      </c>
      <c r="B1070" s="15" t="s">
        <v>109</v>
      </c>
      <c r="C1070" s="2">
        <v>6</v>
      </c>
      <c r="E1070" s="2">
        <f>5+1+1+1+5+3</f>
        <v>16</v>
      </c>
      <c r="G1070" s="18">
        <f t="shared" si="59"/>
        <v>2.6666666666666665</v>
      </c>
    </row>
    <row r="1071" spans="1:7" ht="12.75">
      <c r="A1071" s="36" t="s">
        <v>1600</v>
      </c>
      <c r="B1071" s="15" t="s">
        <v>1583</v>
      </c>
      <c r="C1071" s="2">
        <v>6</v>
      </c>
      <c r="D1071" s="37"/>
      <c r="E1071" s="2">
        <f>1+2+4+6+1+2</f>
        <v>16</v>
      </c>
      <c r="G1071" s="18">
        <f t="shared" si="59"/>
        <v>2.6666666666666665</v>
      </c>
    </row>
    <row r="1072" spans="1:7" ht="12.75">
      <c r="A1072" s="36" t="s">
        <v>1404</v>
      </c>
      <c r="B1072" s="15" t="s">
        <v>204</v>
      </c>
      <c r="C1072" s="2">
        <v>3</v>
      </c>
      <c r="E1072" s="2">
        <f>2+12+1</f>
        <v>15</v>
      </c>
      <c r="G1072" s="18">
        <f t="shared" si="59"/>
        <v>5</v>
      </c>
    </row>
    <row r="1073" spans="1:7" ht="12.75">
      <c r="A1073" s="36" t="s">
        <v>1796</v>
      </c>
      <c r="B1073" s="15" t="s">
        <v>889</v>
      </c>
      <c r="C1073" s="2">
        <v>4</v>
      </c>
      <c r="E1073" s="2">
        <f>6+1+1+7</f>
        <v>15</v>
      </c>
      <c r="G1073" s="18">
        <f t="shared" si="59"/>
        <v>3.75</v>
      </c>
    </row>
    <row r="1074" spans="1:7" ht="12.75">
      <c r="A1074" s="36" t="s">
        <v>1497</v>
      </c>
      <c r="B1074" s="15" t="s">
        <v>433</v>
      </c>
      <c r="C1074" s="2">
        <v>4</v>
      </c>
      <c r="E1074" s="2">
        <f>2+5+6+2</f>
        <v>15</v>
      </c>
      <c r="G1074" s="18">
        <f t="shared" si="59"/>
        <v>3.75</v>
      </c>
    </row>
    <row r="1075" spans="1:7" ht="12.75">
      <c r="A1075" s="36" t="s">
        <v>1533</v>
      </c>
      <c r="B1075" s="15" t="s">
        <v>625</v>
      </c>
      <c r="C1075" s="2">
        <v>5</v>
      </c>
      <c r="E1075" s="2">
        <f>1+1+1+5+7</f>
        <v>15</v>
      </c>
      <c r="G1075" s="18">
        <f t="shared" si="59"/>
        <v>3</v>
      </c>
    </row>
    <row r="1076" spans="1:7" ht="12.75">
      <c r="A1076" s="36" t="s">
        <v>1495</v>
      </c>
      <c r="B1076" s="15" t="s">
        <v>826</v>
      </c>
      <c r="C1076" s="2">
        <v>5</v>
      </c>
      <c r="E1076" s="2">
        <f>2+2+2+1+8</f>
        <v>15</v>
      </c>
      <c r="G1076" s="18">
        <f t="shared" si="59"/>
        <v>3</v>
      </c>
    </row>
    <row r="1077" spans="1:7" ht="12.75">
      <c r="A1077" s="36" t="s">
        <v>1503</v>
      </c>
      <c r="B1077" s="15" t="s">
        <v>977</v>
      </c>
      <c r="C1077" s="2">
        <v>5</v>
      </c>
      <c r="E1077" s="2">
        <f>2+5+2+3+3</f>
        <v>15</v>
      </c>
      <c r="G1077" s="18">
        <f t="shared" si="59"/>
        <v>3</v>
      </c>
    </row>
    <row r="1078" spans="1:7" ht="12.75">
      <c r="A1078" s="36" t="s">
        <v>613</v>
      </c>
      <c r="B1078" s="15" t="s">
        <v>83</v>
      </c>
      <c r="C1078" s="2">
        <v>2</v>
      </c>
      <c r="E1078" s="4">
        <f>4+10</f>
        <v>14</v>
      </c>
      <c r="G1078" s="18">
        <f t="shared" si="59"/>
        <v>7</v>
      </c>
    </row>
    <row r="1079" spans="1:7" ht="12.75">
      <c r="A1079" s="36" t="s">
        <v>349</v>
      </c>
      <c r="B1079" s="15" t="s">
        <v>620</v>
      </c>
      <c r="C1079" s="2">
        <v>2</v>
      </c>
      <c r="E1079" s="4">
        <f>8+6</f>
        <v>14</v>
      </c>
      <c r="G1079" s="18">
        <f t="shared" si="59"/>
        <v>7</v>
      </c>
    </row>
    <row r="1080" spans="1:7" ht="12.75">
      <c r="A1080" s="36" t="s">
        <v>169</v>
      </c>
      <c r="B1080" s="15" t="s">
        <v>378</v>
      </c>
      <c r="C1080" s="2">
        <v>2</v>
      </c>
      <c r="E1080" s="4">
        <f>2+12</f>
        <v>14</v>
      </c>
      <c r="G1080" s="18">
        <f t="shared" si="59"/>
        <v>7</v>
      </c>
    </row>
    <row r="1081" spans="1:7" ht="12.75">
      <c r="A1081" s="36" t="s">
        <v>215</v>
      </c>
      <c r="B1081" s="15" t="s">
        <v>743</v>
      </c>
      <c r="C1081" s="2">
        <v>3</v>
      </c>
      <c r="E1081" s="4">
        <f>6+1+7</f>
        <v>14</v>
      </c>
      <c r="G1081" s="18">
        <f t="shared" si="59"/>
        <v>4.666666666666667</v>
      </c>
    </row>
    <row r="1082" spans="1:7" ht="12.75">
      <c r="A1082" s="36" t="s">
        <v>1471</v>
      </c>
      <c r="B1082" s="15" t="s">
        <v>319</v>
      </c>
      <c r="C1082" s="2">
        <v>4</v>
      </c>
      <c r="E1082" s="2">
        <f>4+3+6+1</f>
        <v>14</v>
      </c>
      <c r="G1082" s="18">
        <f t="shared" si="59"/>
        <v>3.5</v>
      </c>
    </row>
    <row r="1083" spans="1:7" ht="12.75">
      <c r="A1083" s="36" t="s">
        <v>1482</v>
      </c>
      <c r="B1083" s="15" t="s">
        <v>885</v>
      </c>
      <c r="C1083" s="2">
        <v>6</v>
      </c>
      <c r="E1083" s="2">
        <f>1+2+1+5+3+2</f>
        <v>14</v>
      </c>
      <c r="G1083" s="18">
        <f t="shared" si="59"/>
        <v>2.3333333333333335</v>
      </c>
    </row>
    <row r="1084" spans="1:7" ht="12.75">
      <c r="A1084" s="36" t="s">
        <v>1475</v>
      </c>
      <c r="B1084" s="15" t="s">
        <v>199</v>
      </c>
      <c r="C1084" s="2">
        <v>3</v>
      </c>
      <c r="E1084" s="2">
        <f>8+2+3</f>
        <v>13</v>
      </c>
      <c r="G1084" s="18">
        <f t="shared" si="59"/>
        <v>4.333333333333333</v>
      </c>
    </row>
    <row r="1085" spans="1:7" ht="12.75">
      <c r="A1085" s="36" t="s">
        <v>1437</v>
      </c>
      <c r="B1085" s="15" t="s">
        <v>1730</v>
      </c>
      <c r="C1085" s="2">
        <v>3</v>
      </c>
      <c r="E1085" s="2">
        <f>8+4+1</f>
        <v>13</v>
      </c>
      <c r="G1085" s="18">
        <f t="shared" si="59"/>
        <v>4.333333333333333</v>
      </c>
    </row>
    <row r="1086" spans="1:7" ht="12.75">
      <c r="A1086" s="36" t="s">
        <v>1442</v>
      </c>
      <c r="B1086" s="15" t="s">
        <v>781</v>
      </c>
      <c r="C1086" s="2">
        <v>4</v>
      </c>
      <c r="E1086" s="2">
        <f>4+3+4+2</f>
        <v>13</v>
      </c>
      <c r="G1086" s="18">
        <f t="shared" si="59"/>
        <v>3.25</v>
      </c>
    </row>
    <row r="1087" spans="1:7" ht="12.75">
      <c r="A1087" s="36" t="s">
        <v>1597</v>
      </c>
      <c r="B1087" s="15" t="s">
        <v>981</v>
      </c>
      <c r="C1087" s="2">
        <v>4</v>
      </c>
      <c r="E1087" s="2">
        <f>1+7+4+1</f>
        <v>13</v>
      </c>
      <c r="G1087" s="18">
        <f t="shared" si="59"/>
        <v>3.25</v>
      </c>
    </row>
    <row r="1088" spans="1:7" ht="12.75">
      <c r="A1088" s="36" t="s">
        <v>1444</v>
      </c>
      <c r="B1088" s="15" t="s">
        <v>637</v>
      </c>
      <c r="C1088" s="2">
        <v>5</v>
      </c>
      <c r="E1088" s="2">
        <f>4+4+2+1+2</f>
        <v>13</v>
      </c>
      <c r="G1088" s="18">
        <f t="shared" si="59"/>
        <v>2.6</v>
      </c>
    </row>
    <row r="1089" spans="1:7" ht="12.75">
      <c r="A1089" s="36" t="s">
        <v>1940</v>
      </c>
      <c r="B1089" s="15" t="s">
        <v>1577</v>
      </c>
      <c r="C1089" s="2">
        <v>5</v>
      </c>
      <c r="E1089" s="2">
        <f>3+2+5+1+2</f>
        <v>13</v>
      </c>
      <c r="G1089" s="18">
        <f t="shared" si="59"/>
        <v>2.6</v>
      </c>
    </row>
    <row r="1090" spans="1:7" ht="12.75">
      <c r="A1090" s="36" t="s">
        <v>812</v>
      </c>
      <c r="B1090" s="15" t="s">
        <v>700</v>
      </c>
      <c r="C1090" s="2">
        <v>2</v>
      </c>
      <c r="E1090" s="4">
        <f>8+4</f>
        <v>12</v>
      </c>
      <c r="G1090" s="18">
        <f t="shared" si="59"/>
        <v>6</v>
      </c>
    </row>
    <row r="1091" spans="1:7" ht="12.75">
      <c r="A1091" s="36" t="s">
        <v>1460</v>
      </c>
      <c r="B1091" s="15" t="s">
        <v>361</v>
      </c>
      <c r="C1091" s="2">
        <v>3</v>
      </c>
      <c r="E1091" s="2">
        <f>3+3+6</f>
        <v>12</v>
      </c>
      <c r="G1091" s="18">
        <f t="shared" si="59"/>
        <v>4</v>
      </c>
    </row>
    <row r="1092" spans="1:7" ht="12.75">
      <c r="A1092" s="36" t="s">
        <v>1797</v>
      </c>
      <c r="B1092" s="15" t="s">
        <v>413</v>
      </c>
      <c r="C1092" s="2">
        <v>3</v>
      </c>
      <c r="E1092" s="2">
        <f>5+4+3</f>
        <v>12</v>
      </c>
      <c r="G1092" s="18">
        <f t="shared" si="59"/>
        <v>4</v>
      </c>
    </row>
    <row r="1093" spans="1:7" ht="12.75">
      <c r="A1093" s="36" t="s">
        <v>499</v>
      </c>
      <c r="B1093" s="15" t="s">
        <v>110</v>
      </c>
      <c r="C1093" s="2">
        <v>3</v>
      </c>
      <c r="E1093" s="4">
        <f>2+5+5</f>
        <v>12</v>
      </c>
      <c r="G1093" s="18">
        <f t="shared" si="59"/>
        <v>4</v>
      </c>
    </row>
    <row r="1094" spans="1:7" ht="12.75">
      <c r="A1094" s="36" t="s">
        <v>1474</v>
      </c>
      <c r="B1094" s="15" t="s">
        <v>649</v>
      </c>
      <c r="C1094" s="2">
        <v>4</v>
      </c>
      <c r="E1094" s="2">
        <f>2+7+2+1</f>
        <v>12</v>
      </c>
      <c r="G1094" s="18">
        <f t="shared" si="59"/>
        <v>3</v>
      </c>
    </row>
    <row r="1095" spans="1:7" ht="12.75">
      <c r="A1095" s="36" t="s">
        <v>1847</v>
      </c>
      <c r="B1095" s="15" t="s">
        <v>573</v>
      </c>
      <c r="C1095" s="2">
        <v>5</v>
      </c>
      <c r="E1095" s="2">
        <f>6+1+2+2+1</f>
        <v>12</v>
      </c>
      <c r="G1095" s="18">
        <f t="shared" si="59"/>
        <v>2.4</v>
      </c>
    </row>
    <row r="1096" spans="1:7" ht="12.75">
      <c r="A1096" s="36" t="s">
        <v>624</v>
      </c>
      <c r="B1096" s="15" t="s">
        <v>564</v>
      </c>
      <c r="C1096" s="2">
        <v>2</v>
      </c>
      <c r="E1096" s="4">
        <f>5+6</f>
        <v>11</v>
      </c>
      <c r="G1096" s="18">
        <f t="shared" si="59"/>
        <v>5.5</v>
      </c>
    </row>
    <row r="1097" spans="1:7" ht="12.75">
      <c r="A1097" s="36" t="s">
        <v>1422</v>
      </c>
      <c r="B1097" s="15" t="s">
        <v>407</v>
      </c>
      <c r="C1097" s="2">
        <v>2</v>
      </c>
      <c r="E1097" s="39">
        <f>6+5</f>
        <v>11</v>
      </c>
      <c r="G1097" s="18">
        <f t="shared" si="59"/>
        <v>5.5</v>
      </c>
    </row>
    <row r="1098" spans="1:7" ht="12.75">
      <c r="A1098" s="36" t="s">
        <v>187</v>
      </c>
      <c r="B1098" s="15" t="s">
        <v>273</v>
      </c>
      <c r="C1098" s="2">
        <v>2</v>
      </c>
      <c r="E1098" s="4">
        <f>10+1</f>
        <v>11</v>
      </c>
      <c r="G1098" s="18">
        <f t="shared" si="59"/>
        <v>5.5</v>
      </c>
    </row>
    <row r="1099" spans="1:7" ht="12.75">
      <c r="A1099" s="36" t="s">
        <v>1607</v>
      </c>
      <c r="B1099" s="15" t="s">
        <v>164</v>
      </c>
      <c r="C1099" s="2">
        <v>3</v>
      </c>
      <c r="E1099" s="4">
        <f>3+2+6</f>
        <v>11</v>
      </c>
      <c r="G1099" s="18">
        <f t="shared" si="59"/>
        <v>3.6666666666666665</v>
      </c>
    </row>
    <row r="1100" spans="1:7" ht="12.75">
      <c r="A1100" s="36" t="s">
        <v>189</v>
      </c>
      <c r="B1100" s="15" t="s">
        <v>814</v>
      </c>
      <c r="C1100" s="2">
        <v>3</v>
      </c>
      <c r="E1100" s="4">
        <f>1+8+2</f>
        <v>11</v>
      </c>
      <c r="G1100" s="18">
        <f t="shared" si="59"/>
        <v>3.6666666666666665</v>
      </c>
    </row>
    <row r="1101" spans="1:7" ht="12.75">
      <c r="A1101" s="36" t="s">
        <v>206</v>
      </c>
      <c r="B1101" s="15" t="s">
        <v>722</v>
      </c>
      <c r="C1101" s="2">
        <v>3</v>
      </c>
      <c r="E1101" s="4">
        <f>1+3+7</f>
        <v>11</v>
      </c>
      <c r="G1101" s="18">
        <f t="shared" si="59"/>
        <v>3.6666666666666665</v>
      </c>
    </row>
    <row r="1102" spans="1:7" ht="12.75">
      <c r="A1102" s="36" t="s">
        <v>519</v>
      </c>
      <c r="B1102" s="15" t="s">
        <v>73</v>
      </c>
      <c r="C1102" s="2">
        <v>3</v>
      </c>
      <c r="E1102" s="4">
        <f>4+5+2</f>
        <v>11</v>
      </c>
      <c r="G1102" s="18">
        <f t="shared" si="59"/>
        <v>3.6666666666666665</v>
      </c>
    </row>
    <row r="1103" spans="1:7" ht="12.75">
      <c r="A1103" s="36" t="s">
        <v>1461</v>
      </c>
      <c r="B1103" s="15" t="s">
        <v>373</v>
      </c>
      <c r="C1103" s="2">
        <v>5</v>
      </c>
      <c r="E1103" s="2">
        <f>1+3+3+2+2</f>
        <v>11</v>
      </c>
      <c r="G1103" s="18">
        <f t="shared" si="59"/>
        <v>2.2</v>
      </c>
    </row>
    <row r="1104" spans="1:7" ht="12.75">
      <c r="A1104" s="36" t="s">
        <v>1766</v>
      </c>
      <c r="B1104" s="15" t="s">
        <v>677</v>
      </c>
      <c r="C1104" s="2">
        <v>5</v>
      </c>
      <c r="E1104" s="2">
        <f>2+2+2+2+3</f>
        <v>11</v>
      </c>
      <c r="G1104" s="18">
        <f t="shared" si="59"/>
        <v>2.2</v>
      </c>
    </row>
    <row r="1105" spans="1:7" ht="12.75">
      <c r="A1105" s="36" t="s">
        <v>1603</v>
      </c>
      <c r="B1105" s="15" t="s">
        <v>834</v>
      </c>
      <c r="C1105" s="2">
        <v>5</v>
      </c>
      <c r="E1105" s="4">
        <f>4+3+1+2+1</f>
        <v>11</v>
      </c>
      <c r="G1105" s="18">
        <f t="shared" si="59"/>
        <v>2.2</v>
      </c>
    </row>
    <row r="1106" spans="1:7" ht="12.75">
      <c r="A1106" s="36" t="s">
        <v>670</v>
      </c>
      <c r="B1106" s="15" t="s">
        <v>663</v>
      </c>
      <c r="C1106" s="2">
        <v>1</v>
      </c>
      <c r="E1106" s="4">
        <f>10</f>
        <v>10</v>
      </c>
      <c r="G1106" s="18">
        <f t="shared" si="59"/>
        <v>10</v>
      </c>
    </row>
    <row r="1107" spans="1:7" ht="12.75">
      <c r="A1107" s="36" t="s">
        <v>1458</v>
      </c>
      <c r="B1107" s="15" t="s">
        <v>1054</v>
      </c>
      <c r="C1107" s="2">
        <v>2</v>
      </c>
      <c r="E1107" s="2">
        <f>7+3</f>
        <v>10</v>
      </c>
      <c r="G1107" s="18">
        <f t="shared" si="59"/>
        <v>5</v>
      </c>
    </row>
    <row r="1108" spans="1:7" ht="12.75">
      <c r="A1108" s="36" t="s">
        <v>351</v>
      </c>
      <c r="B1108" s="15" t="s">
        <v>620</v>
      </c>
      <c r="C1108" s="2">
        <v>2</v>
      </c>
      <c r="E1108" s="4">
        <f>6+4</f>
        <v>10</v>
      </c>
      <c r="G1108" s="18">
        <f t="shared" si="59"/>
        <v>5</v>
      </c>
    </row>
    <row r="1109" spans="1:7" ht="12.75">
      <c r="A1109" s="36" t="s">
        <v>176</v>
      </c>
      <c r="B1109" s="15" t="s">
        <v>559</v>
      </c>
      <c r="C1109" s="2">
        <v>2</v>
      </c>
      <c r="E1109" s="4">
        <f>4+6</f>
        <v>10</v>
      </c>
      <c r="G1109" s="18">
        <f t="shared" si="59"/>
        <v>5</v>
      </c>
    </row>
    <row r="1110" spans="1:7" ht="12.75">
      <c r="A1110" s="36" t="s">
        <v>1917</v>
      </c>
      <c r="B1110" s="15" t="s">
        <v>94</v>
      </c>
      <c r="C1110" s="2">
        <v>3</v>
      </c>
      <c r="E1110" s="2">
        <f>5+3+2</f>
        <v>10</v>
      </c>
      <c r="G1110" s="18">
        <f t="shared" si="59"/>
        <v>3.3333333333333335</v>
      </c>
    </row>
    <row r="1111" spans="1:7" ht="12.75">
      <c r="A1111" s="36" t="s">
        <v>1904</v>
      </c>
      <c r="B1111" s="15" t="s">
        <v>485</v>
      </c>
      <c r="C1111" s="2">
        <v>3</v>
      </c>
      <c r="E1111" s="2">
        <f>4+3+3</f>
        <v>10</v>
      </c>
      <c r="G1111" s="18">
        <f t="shared" si="59"/>
        <v>3.3333333333333335</v>
      </c>
    </row>
    <row r="1112" spans="1:7" ht="12.75">
      <c r="A1112" s="36" t="s">
        <v>1455</v>
      </c>
      <c r="B1112" s="15" t="s">
        <v>582</v>
      </c>
      <c r="C1112" s="2">
        <v>4</v>
      </c>
      <c r="E1112" s="2">
        <f>3+5+1+1</f>
        <v>10</v>
      </c>
      <c r="G1112" s="18">
        <f t="shared" si="59"/>
        <v>2.5</v>
      </c>
    </row>
    <row r="1113" spans="1:7" ht="12.75">
      <c r="A1113" s="36" t="s">
        <v>1501</v>
      </c>
      <c r="B1113" s="15" t="s">
        <v>941</v>
      </c>
      <c r="C1113" s="2">
        <v>6</v>
      </c>
      <c r="E1113" s="2">
        <f>1+2+1+2+2+2</f>
        <v>10</v>
      </c>
      <c r="G1113" s="18">
        <f t="shared" si="59"/>
        <v>1.6666666666666667</v>
      </c>
    </row>
    <row r="1114" spans="1:7" ht="12.75">
      <c r="A1114" s="36" t="s">
        <v>1409</v>
      </c>
      <c r="B1114" s="15" t="s">
        <v>1037</v>
      </c>
      <c r="C1114" s="2">
        <v>1</v>
      </c>
      <c r="E1114" s="2">
        <v>9</v>
      </c>
      <c r="G1114" s="18">
        <f t="shared" si="59"/>
        <v>9</v>
      </c>
    </row>
    <row r="1115" spans="1:7" ht="12.75">
      <c r="A1115" s="36" t="s">
        <v>1436</v>
      </c>
      <c r="B1115" s="15" t="s">
        <v>162</v>
      </c>
      <c r="C1115" s="2">
        <v>2</v>
      </c>
      <c r="E1115" s="2">
        <f>4+5</f>
        <v>9</v>
      </c>
      <c r="G1115" s="18">
        <f t="shared" si="59"/>
        <v>4.5</v>
      </c>
    </row>
    <row r="1116" spans="1:7" ht="12.75">
      <c r="A1116" s="36" t="s">
        <v>961</v>
      </c>
      <c r="B1116" s="15" t="s">
        <v>100</v>
      </c>
      <c r="C1116" s="2">
        <v>2</v>
      </c>
      <c r="E1116" s="4">
        <f>6+3</f>
        <v>9</v>
      </c>
      <c r="G1116" s="18">
        <f t="shared" si="59"/>
        <v>4.5</v>
      </c>
    </row>
    <row r="1117" spans="1:7" ht="12.75">
      <c r="A1117" s="36" t="s">
        <v>1707</v>
      </c>
      <c r="B1117" s="15" t="s">
        <v>536</v>
      </c>
      <c r="C1117" s="2">
        <v>3</v>
      </c>
      <c r="E1117" s="2">
        <f>7+1+1</f>
        <v>9</v>
      </c>
      <c r="G1117" s="18">
        <f t="shared" si="59"/>
        <v>3</v>
      </c>
    </row>
    <row r="1118" spans="1:7" ht="12.75">
      <c r="A1118" s="36" t="s">
        <v>1513</v>
      </c>
      <c r="B1118" s="15" t="s">
        <v>539</v>
      </c>
      <c r="C1118" s="2">
        <v>3</v>
      </c>
      <c r="E1118" s="2">
        <f>1+5+3</f>
        <v>9</v>
      </c>
      <c r="G1118" s="18">
        <f t="shared" si="59"/>
        <v>3</v>
      </c>
    </row>
    <row r="1119" spans="1:7" ht="12.75">
      <c r="A1119" s="36" t="s">
        <v>1726</v>
      </c>
      <c r="B1119" s="15" t="s">
        <v>468</v>
      </c>
      <c r="C1119" s="2">
        <v>3</v>
      </c>
      <c r="E1119" s="2">
        <f>2+3+4</f>
        <v>9</v>
      </c>
      <c r="G1119" s="18">
        <f t="shared" si="59"/>
        <v>3</v>
      </c>
    </row>
    <row r="1120" spans="1:7" ht="12.75">
      <c r="A1120" s="36" t="s">
        <v>188</v>
      </c>
      <c r="B1120" s="15" t="s">
        <v>814</v>
      </c>
      <c r="C1120" s="2">
        <v>3</v>
      </c>
      <c r="E1120" s="4">
        <f>3+3+3</f>
        <v>9</v>
      </c>
      <c r="G1120" s="18">
        <f t="shared" si="59"/>
        <v>3</v>
      </c>
    </row>
    <row r="1121" spans="1:7" ht="12.75">
      <c r="A1121" s="36" t="s">
        <v>1478</v>
      </c>
      <c r="B1121" s="15" t="s">
        <v>395</v>
      </c>
      <c r="C1121" s="2">
        <v>4</v>
      </c>
      <c r="E1121" s="2">
        <f>2+4+2+1</f>
        <v>9</v>
      </c>
      <c r="G1121" s="18">
        <f t="shared" si="59"/>
        <v>2.25</v>
      </c>
    </row>
    <row r="1122" spans="1:7" ht="12.75">
      <c r="A1122" s="36" t="s">
        <v>1748</v>
      </c>
      <c r="B1122" s="15" t="s">
        <v>1580</v>
      </c>
      <c r="C1122" s="2">
        <v>4</v>
      </c>
      <c r="E1122" s="2">
        <f>3+4+1+1</f>
        <v>9</v>
      </c>
      <c r="G1122" s="18">
        <f t="shared" si="59"/>
        <v>2.25</v>
      </c>
    </row>
    <row r="1123" spans="1:7" ht="12.75">
      <c r="A1123" s="36" t="s">
        <v>1453</v>
      </c>
      <c r="B1123" s="15" t="s">
        <v>904</v>
      </c>
      <c r="C1123" s="2">
        <v>5</v>
      </c>
      <c r="D1123" s="37"/>
      <c r="E1123" s="2">
        <f>3+2+1+2+1</f>
        <v>9</v>
      </c>
      <c r="G1123" s="18">
        <f t="shared" si="59"/>
        <v>1.8</v>
      </c>
    </row>
    <row r="1124" spans="1:7" ht="12.75">
      <c r="A1124" s="36" t="s">
        <v>1493</v>
      </c>
      <c r="B1124" s="15" t="s">
        <v>1562</v>
      </c>
      <c r="C1124" s="2">
        <v>5</v>
      </c>
      <c r="E1124" s="2">
        <f>2+2+2+1+2</f>
        <v>9</v>
      </c>
      <c r="G1124" s="18">
        <f t="shared" si="59"/>
        <v>1.8</v>
      </c>
    </row>
    <row r="1125" spans="1:7" ht="12.75">
      <c r="A1125" s="36" t="s">
        <v>983</v>
      </c>
      <c r="B1125" s="15" t="s">
        <v>930</v>
      </c>
      <c r="C1125" s="2">
        <v>1</v>
      </c>
      <c r="E1125" s="4">
        <f>8</f>
        <v>8</v>
      </c>
      <c r="G1125" s="18">
        <f t="shared" si="59"/>
        <v>8</v>
      </c>
    </row>
    <row r="1126" spans="1:7" ht="12.75">
      <c r="A1126" s="36" t="s">
        <v>721</v>
      </c>
      <c r="B1126" s="15" t="s">
        <v>717</v>
      </c>
      <c r="C1126" s="2">
        <v>1</v>
      </c>
      <c r="E1126" s="4">
        <f>8</f>
        <v>8</v>
      </c>
      <c r="G1126" s="18">
        <f t="shared" si="59"/>
        <v>8</v>
      </c>
    </row>
    <row r="1127" spans="1:7" ht="12.75">
      <c r="A1127" s="36" t="s">
        <v>1483</v>
      </c>
      <c r="B1127" s="15" t="s">
        <v>1751</v>
      </c>
      <c r="C1127" s="2">
        <v>2</v>
      </c>
      <c r="E1127" s="2">
        <f>2+6</f>
        <v>8</v>
      </c>
      <c r="G1127" s="18">
        <f t="shared" si="59"/>
        <v>4</v>
      </c>
    </row>
    <row r="1128" spans="1:7" ht="12.75">
      <c r="A1128" s="36" t="s">
        <v>1767</v>
      </c>
      <c r="B1128" s="15" t="s">
        <v>2015</v>
      </c>
      <c r="C1128" s="2">
        <v>2</v>
      </c>
      <c r="E1128" s="2">
        <f>4+4</f>
        <v>8</v>
      </c>
      <c r="G1128" s="18">
        <f t="shared" si="59"/>
        <v>4</v>
      </c>
    </row>
    <row r="1129" spans="1:7" ht="12.75">
      <c r="A1129" s="36" t="s">
        <v>1425</v>
      </c>
      <c r="B1129" s="15" t="s">
        <v>1057</v>
      </c>
      <c r="C1129" s="2">
        <v>2</v>
      </c>
      <c r="E1129" s="39">
        <f>2+6</f>
        <v>8</v>
      </c>
      <c r="G1129" s="18">
        <f t="shared" si="59"/>
        <v>4</v>
      </c>
    </row>
    <row r="1130" spans="1:7" ht="12.75">
      <c r="A1130" s="36" t="s">
        <v>191</v>
      </c>
      <c r="B1130" s="15" t="s">
        <v>414</v>
      </c>
      <c r="C1130" s="2">
        <v>2</v>
      </c>
      <c r="E1130" s="4">
        <f>4+4</f>
        <v>8</v>
      </c>
      <c r="G1130" s="18">
        <f t="shared" si="59"/>
        <v>4</v>
      </c>
    </row>
    <row r="1131" spans="1:7" ht="12.75">
      <c r="A1131" s="36" t="s">
        <v>381</v>
      </c>
      <c r="B1131" s="15" t="s">
        <v>682</v>
      </c>
      <c r="C1131" s="2">
        <v>3</v>
      </c>
      <c r="E1131" s="4">
        <f>1+6+1</f>
        <v>8</v>
      </c>
      <c r="G1131" s="18">
        <f t="shared" si="59"/>
        <v>2.6666666666666665</v>
      </c>
    </row>
    <row r="1132" spans="1:7" ht="12.75">
      <c r="A1132" s="36" t="s">
        <v>389</v>
      </c>
      <c r="B1132" s="15" t="s">
        <v>1252</v>
      </c>
      <c r="C1132" s="2">
        <v>3</v>
      </c>
      <c r="E1132" s="4">
        <f>4+1+3</f>
        <v>8</v>
      </c>
      <c r="G1132" s="18">
        <f aca="true" t="shared" si="60" ref="G1132:G1195">IF(C1132=0,0,E1132/C1132)</f>
        <v>2.6666666666666665</v>
      </c>
    </row>
    <row r="1133" spans="1:7" ht="12.75">
      <c r="A1133" s="36" t="s">
        <v>1424</v>
      </c>
      <c r="B1133" s="15" t="s">
        <v>1811</v>
      </c>
      <c r="C1133" s="2">
        <v>3</v>
      </c>
      <c r="E1133" s="39">
        <f>1+6+1</f>
        <v>8</v>
      </c>
      <c r="G1133" s="18">
        <f t="shared" si="60"/>
        <v>2.6666666666666665</v>
      </c>
    </row>
    <row r="1134" spans="1:7" ht="12.75">
      <c r="A1134" s="36" t="s">
        <v>1443</v>
      </c>
      <c r="B1134" s="15" t="s">
        <v>705</v>
      </c>
      <c r="C1134" s="2">
        <v>3</v>
      </c>
      <c r="E1134" s="2">
        <f>1+4+3</f>
        <v>8</v>
      </c>
      <c r="G1134" s="18">
        <f t="shared" si="60"/>
        <v>2.6666666666666665</v>
      </c>
    </row>
    <row r="1135" spans="1:7" ht="12.75">
      <c r="A1135" s="36" t="s">
        <v>1618</v>
      </c>
      <c r="B1135" s="15" t="s">
        <v>467</v>
      </c>
      <c r="C1135" s="2">
        <v>4</v>
      </c>
      <c r="E1135" s="4">
        <f>2+2+2+2</f>
        <v>8</v>
      </c>
      <c r="G1135" s="18">
        <f t="shared" si="60"/>
        <v>2</v>
      </c>
    </row>
    <row r="1136" spans="1:7" ht="12.75">
      <c r="A1136" s="36" t="s">
        <v>1754</v>
      </c>
      <c r="B1136" s="15" t="s">
        <v>1260</v>
      </c>
      <c r="C1136" s="2">
        <v>4</v>
      </c>
      <c r="E1136" s="2">
        <f>1+4+1+2</f>
        <v>8</v>
      </c>
      <c r="G1136" s="18">
        <f t="shared" si="60"/>
        <v>2</v>
      </c>
    </row>
    <row r="1137" spans="1:7" ht="12.75">
      <c r="A1137" s="36" t="s">
        <v>1468</v>
      </c>
      <c r="B1137" s="15" t="s">
        <v>921</v>
      </c>
      <c r="C1137" s="2">
        <v>5</v>
      </c>
      <c r="E1137" s="2">
        <f>3+1+1+1+2</f>
        <v>8</v>
      </c>
      <c r="G1137" s="18">
        <f t="shared" si="60"/>
        <v>1.6</v>
      </c>
    </row>
    <row r="1138" spans="1:7" ht="12.75">
      <c r="A1138" s="36" t="s">
        <v>645</v>
      </c>
      <c r="B1138" s="15" t="s">
        <v>646</v>
      </c>
      <c r="C1138" s="2">
        <v>6</v>
      </c>
      <c r="E1138" s="2">
        <f>3+2+1+1+1</f>
        <v>8</v>
      </c>
      <c r="G1138" s="18">
        <f t="shared" si="60"/>
        <v>1.3333333333333333</v>
      </c>
    </row>
    <row r="1139" spans="1:7" ht="12.75">
      <c r="A1139" s="36" t="s">
        <v>652</v>
      </c>
      <c r="B1139" s="15" t="s">
        <v>632</v>
      </c>
      <c r="C1139" s="2">
        <v>1</v>
      </c>
      <c r="E1139" s="4">
        <f>7</f>
        <v>7</v>
      </c>
      <c r="G1139" s="18">
        <f t="shared" si="60"/>
        <v>7</v>
      </c>
    </row>
    <row r="1140" spans="1:7" ht="12.75">
      <c r="A1140" s="36" t="s">
        <v>174</v>
      </c>
      <c r="B1140" s="15" t="s">
        <v>1970</v>
      </c>
      <c r="C1140" s="2">
        <v>1</v>
      </c>
      <c r="E1140" s="4">
        <v>7</v>
      </c>
      <c r="G1140" s="18">
        <f t="shared" si="60"/>
        <v>7</v>
      </c>
    </row>
    <row r="1141" spans="1:7" ht="12.75">
      <c r="A1141" s="36" t="s">
        <v>287</v>
      </c>
      <c r="B1141" s="15" t="s">
        <v>278</v>
      </c>
      <c r="C1141" s="2">
        <v>1</v>
      </c>
      <c r="E1141" s="4">
        <f>7</f>
        <v>7</v>
      </c>
      <c r="G1141" s="18">
        <f t="shared" si="60"/>
        <v>7</v>
      </c>
    </row>
    <row r="1142" spans="1:7" ht="12.75">
      <c r="A1142" s="36" t="s">
        <v>461</v>
      </c>
      <c r="B1142" s="15" t="s">
        <v>456</v>
      </c>
      <c r="C1142" s="2">
        <v>1</v>
      </c>
      <c r="E1142" s="4">
        <v>7</v>
      </c>
      <c r="G1142" s="18">
        <f t="shared" si="60"/>
        <v>7</v>
      </c>
    </row>
    <row r="1143" spans="1:7" ht="12.75">
      <c r="A1143" s="36" t="s">
        <v>1877</v>
      </c>
      <c r="B1143" s="15" t="s">
        <v>1854</v>
      </c>
      <c r="C1143" s="2">
        <v>1</v>
      </c>
      <c r="E1143" s="2">
        <v>7</v>
      </c>
      <c r="G1143" s="18">
        <f t="shared" si="60"/>
        <v>7</v>
      </c>
    </row>
    <row r="1144" spans="1:7" ht="12.75">
      <c r="A1144" s="36" t="s">
        <v>1418</v>
      </c>
      <c r="B1144" s="15" t="s">
        <v>1049</v>
      </c>
      <c r="C1144" s="2">
        <v>1</v>
      </c>
      <c r="E1144" s="2">
        <v>7</v>
      </c>
      <c r="G1144" s="18">
        <f t="shared" si="60"/>
        <v>7</v>
      </c>
    </row>
    <row r="1145" spans="1:7" ht="12.75">
      <c r="A1145" s="36" t="s">
        <v>163</v>
      </c>
      <c r="B1145" s="15" t="s">
        <v>611</v>
      </c>
      <c r="C1145" s="2">
        <v>2</v>
      </c>
      <c r="E1145" s="4">
        <f>4+3</f>
        <v>7</v>
      </c>
      <c r="G1145" s="18">
        <f t="shared" si="60"/>
        <v>3.5</v>
      </c>
    </row>
    <row r="1146" spans="1:7" ht="12.75">
      <c r="A1146" s="36" t="s">
        <v>352</v>
      </c>
      <c r="B1146" s="15" t="s">
        <v>1566</v>
      </c>
      <c r="C1146" s="2">
        <v>2</v>
      </c>
      <c r="E1146" s="4">
        <f>1+6</f>
        <v>7</v>
      </c>
      <c r="G1146" s="18">
        <f t="shared" si="60"/>
        <v>3.5</v>
      </c>
    </row>
    <row r="1147" spans="1:7" ht="12.75">
      <c r="A1147" s="36" t="s">
        <v>1420</v>
      </c>
      <c r="B1147" s="15" t="s">
        <v>650</v>
      </c>
      <c r="C1147" s="2">
        <v>2</v>
      </c>
      <c r="E1147" s="2">
        <f>6+1</f>
        <v>7</v>
      </c>
      <c r="G1147" s="18">
        <f t="shared" si="60"/>
        <v>3.5</v>
      </c>
    </row>
    <row r="1148" spans="1:7" ht="12.75">
      <c r="A1148" s="36" t="s">
        <v>406</v>
      </c>
      <c r="B1148" s="15" t="s">
        <v>748</v>
      </c>
      <c r="C1148" s="2">
        <v>2</v>
      </c>
      <c r="E1148" s="4">
        <f>5+2</f>
        <v>7</v>
      </c>
      <c r="G1148" s="18">
        <f t="shared" si="60"/>
        <v>3.5</v>
      </c>
    </row>
    <row r="1149" spans="1:7" ht="12.75">
      <c r="A1149" s="36" t="s">
        <v>1423</v>
      </c>
      <c r="B1149" s="15" t="s">
        <v>1801</v>
      </c>
      <c r="C1149" s="2">
        <v>2</v>
      </c>
      <c r="E1149" s="39">
        <f>6+1</f>
        <v>7</v>
      </c>
      <c r="G1149" s="18">
        <f t="shared" si="60"/>
        <v>3.5</v>
      </c>
    </row>
    <row r="1150" spans="1:7" ht="12.75">
      <c r="A1150" s="36" t="s">
        <v>190</v>
      </c>
      <c r="B1150" s="15" t="s">
        <v>577</v>
      </c>
      <c r="C1150" s="2">
        <v>2</v>
      </c>
      <c r="E1150" s="4">
        <f>1+6</f>
        <v>7</v>
      </c>
      <c r="G1150" s="18">
        <f t="shared" si="60"/>
        <v>3.5</v>
      </c>
    </row>
    <row r="1151" spans="1:7" ht="12.75">
      <c r="A1151" s="36" t="s">
        <v>1592</v>
      </c>
      <c r="B1151" s="15" t="s">
        <v>1775</v>
      </c>
      <c r="C1151" s="2">
        <v>2</v>
      </c>
      <c r="E1151" s="2">
        <f>1+6</f>
        <v>7</v>
      </c>
      <c r="G1151" s="18">
        <f t="shared" si="60"/>
        <v>3.5</v>
      </c>
    </row>
    <row r="1152" spans="1:7" ht="12.75">
      <c r="A1152" s="36" t="s">
        <v>469</v>
      </c>
      <c r="B1152" s="15" t="s">
        <v>850</v>
      </c>
      <c r="C1152" s="2">
        <v>2</v>
      </c>
      <c r="E1152" s="4">
        <f>2+5</f>
        <v>7</v>
      </c>
      <c r="G1152" s="18">
        <f t="shared" si="60"/>
        <v>3.5</v>
      </c>
    </row>
    <row r="1153" spans="1:7" ht="12.75">
      <c r="A1153" s="36" t="s">
        <v>854</v>
      </c>
      <c r="B1153" s="15" t="s">
        <v>884</v>
      </c>
      <c r="C1153" s="2">
        <v>2</v>
      </c>
      <c r="E1153" s="4">
        <f>4+3</f>
        <v>7</v>
      </c>
      <c r="G1153" s="18">
        <f t="shared" si="60"/>
        <v>3.5</v>
      </c>
    </row>
    <row r="1154" spans="1:7" ht="12.75">
      <c r="A1154" s="36" t="s">
        <v>1903</v>
      </c>
      <c r="B1154" s="15" t="s">
        <v>1997</v>
      </c>
      <c r="C1154" s="2">
        <v>2</v>
      </c>
      <c r="E1154" s="2">
        <f>2+5</f>
        <v>7</v>
      </c>
      <c r="G1154" s="18">
        <f t="shared" si="60"/>
        <v>3.5</v>
      </c>
    </row>
    <row r="1155" spans="1:7" ht="12.75">
      <c r="A1155" s="36" t="s">
        <v>379</v>
      </c>
      <c r="B1155" s="15" t="s">
        <v>682</v>
      </c>
      <c r="C1155" s="2">
        <v>3</v>
      </c>
      <c r="E1155" s="4">
        <f>2+1+4</f>
        <v>7</v>
      </c>
      <c r="G1155" s="18">
        <f t="shared" si="60"/>
        <v>2.3333333333333335</v>
      </c>
    </row>
    <row r="1156" spans="1:7" ht="12.75">
      <c r="A1156" s="36" t="s">
        <v>390</v>
      </c>
      <c r="B1156" s="15" t="s">
        <v>1252</v>
      </c>
      <c r="C1156" s="2">
        <v>3</v>
      </c>
      <c r="E1156" s="4">
        <f>1+2+4</f>
        <v>7</v>
      </c>
      <c r="G1156" s="18">
        <f t="shared" si="60"/>
        <v>2.3333333333333335</v>
      </c>
    </row>
    <row r="1157" spans="1:7" ht="12.75">
      <c r="A1157" s="36" t="s">
        <v>213</v>
      </c>
      <c r="B1157" s="15" t="s">
        <v>317</v>
      </c>
      <c r="C1157" s="2">
        <v>3</v>
      </c>
      <c r="E1157" s="4">
        <f>4+1+2</f>
        <v>7</v>
      </c>
      <c r="G1157" s="18">
        <f t="shared" si="60"/>
        <v>2.3333333333333335</v>
      </c>
    </row>
    <row r="1158" spans="1:7" ht="12.75">
      <c r="A1158" s="36" t="s">
        <v>211</v>
      </c>
      <c r="B1158" s="15" t="s">
        <v>317</v>
      </c>
      <c r="C1158" s="2">
        <v>3</v>
      </c>
      <c r="E1158" s="4">
        <f>3+2+2</f>
        <v>7</v>
      </c>
      <c r="G1158" s="18">
        <f t="shared" si="60"/>
        <v>2.3333333333333335</v>
      </c>
    </row>
    <row r="1159" spans="1:7" ht="12.75">
      <c r="A1159" s="36" t="s">
        <v>1902</v>
      </c>
      <c r="B1159" s="15" t="s">
        <v>290</v>
      </c>
      <c r="C1159" s="2">
        <v>3</v>
      </c>
      <c r="E1159" s="2">
        <f>1+4+2</f>
        <v>7</v>
      </c>
      <c r="G1159" s="18">
        <f t="shared" si="60"/>
        <v>2.3333333333333335</v>
      </c>
    </row>
    <row r="1160" spans="1:7" ht="12.75">
      <c r="A1160" s="36" t="s">
        <v>1440</v>
      </c>
      <c r="B1160" s="15" t="s">
        <v>686</v>
      </c>
      <c r="C1160" s="2">
        <v>4</v>
      </c>
      <c r="E1160" s="2">
        <f>1+4+1+1</f>
        <v>7</v>
      </c>
      <c r="G1160" s="18">
        <f t="shared" si="60"/>
        <v>1.75</v>
      </c>
    </row>
    <row r="1161" spans="1:7" ht="12.75">
      <c r="A1161" s="36" t="s">
        <v>1591</v>
      </c>
      <c r="B1161" s="15" t="s">
        <v>1984</v>
      </c>
      <c r="C1161" s="2">
        <v>4</v>
      </c>
      <c r="E1161" s="2">
        <f>2+3+1+1</f>
        <v>7</v>
      </c>
      <c r="G1161" s="18">
        <f t="shared" si="60"/>
        <v>1.75</v>
      </c>
    </row>
    <row r="1162" spans="1:7" ht="12.75">
      <c r="A1162" s="36" t="s">
        <v>1594</v>
      </c>
      <c r="B1162" s="15" t="s">
        <v>8</v>
      </c>
      <c r="C1162" s="2">
        <v>4</v>
      </c>
      <c r="E1162" s="2">
        <f>2+1+2+2</f>
        <v>7</v>
      </c>
      <c r="G1162" s="18">
        <f t="shared" si="60"/>
        <v>1.75</v>
      </c>
    </row>
    <row r="1163" spans="1:7" ht="12.75">
      <c r="A1163" s="36" t="s">
        <v>540</v>
      </c>
      <c r="B1163" s="15" t="s">
        <v>529</v>
      </c>
      <c r="C1163" s="2">
        <v>1</v>
      </c>
      <c r="E1163" s="4">
        <f>6</f>
        <v>6</v>
      </c>
      <c r="G1163" s="18">
        <f t="shared" si="60"/>
        <v>6</v>
      </c>
    </row>
    <row r="1164" spans="1:7" ht="12.75">
      <c r="A1164" s="36" t="s">
        <v>173</v>
      </c>
      <c r="B1164" s="15" t="s">
        <v>1970</v>
      </c>
      <c r="C1164" s="2">
        <v>1</v>
      </c>
      <c r="E1164" s="4">
        <v>6</v>
      </c>
      <c r="G1164" s="18">
        <f t="shared" si="60"/>
        <v>6</v>
      </c>
    </row>
    <row r="1165" spans="1:7" ht="12.75">
      <c r="A1165" s="36" t="s">
        <v>926</v>
      </c>
      <c r="B1165" s="15" t="s">
        <v>917</v>
      </c>
      <c r="C1165" s="2">
        <v>1</v>
      </c>
      <c r="E1165" s="4">
        <f>6</f>
        <v>6</v>
      </c>
      <c r="G1165" s="18">
        <f t="shared" si="60"/>
        <v>6</v>
      </c>
    </row>
    <row r="1166" spans="1:7" ht="12.75">
      <c r="A1166" s="36" t="s">
        <v>1727</v>
      </c>
      <c r="B1166" s="15" t="s">
        <v>289</v>
      </c>
      <c r="C1166" s="2">
        <v>2</v>
      </c>
      <c r="E1166" s="2">
        <f>4+2</f>
        <v>6</v>
      </c>
      <c r="G1166" s="18">
        <f t="shared" si="60"/>
        <v>3</v>
      </c>
    </row>
    <row r="1167" spans="1:7" ht="12.75">
      <c r="A1167" s="36" t="s">
        <v>1616</v>
      </c>
      <c r="B1167" s="15" t="s">
        <v>225</v>
      </c>
      <c r="C1167" s="2">
        <v>2</v>
      </c>
      <c r="E1167" s="4">
        <f>2+4</f>
        <v>6</v>
      </c>
      <c r="G1167" s="18">
        <f t="shared" si="60"/>
        <v>3</v>
      </c>
    </row>
    <row r="1168" spans="1:7" ht="12.75">
      <c r="A1168" s="36" t="s">
        <v>359</v>
      </c>
      <c r="B1168" s="15" t="s">
        <v>630</v>
      </c>
      <c r="C1168" s="2">
        <v>2</v>
      </c>
      <c r="E1168" s="4">
        <f>5+1</f>
        <v>6</v>
      </c>
      <c r="G1168" s="18">
        <f t="shared" si="60"/>
        <v>3</v>
      </c>
    </row>
    <row r="1169" spans="1:7" ht="12.75">
      <c r="A1169" s="36" t="s">
        <v>171</v>
      </c>
      <c r="B1169" s="15" t="s">
        <v>378</v>
      </c>
      <c r="C1169" s="2">
        <v>2</v>
      </c>
      <c r="E1169" s="4">
        <f>1+5</f>
        <v>6</v>
      </c>
      <c r="G1169" s="18">
        <f t="shared" si="60"/>
        <v>3</v>
      </c>
    </row>
    <row r="1170" spans="1:7" ht="12.75">
      <c r="A1170" s="36" t="s">
        <v>478</v>
      </c>
      <c r="B1170" s="15" t="s">
        <v>865</v>
      </c>
      <c r="C1170" s="2">
        <v>2</v>
      </c>
      <c r="E1170" s="4">
        <f>5+1</f>
        <v>6</v>
      </c>
      <c r="G1170" s="18">
        <f t="shared" si="60"/>
        <v>3</v>
      </c>
    </row>
    <row r="1171" spans="1:7" ht="12.75">
      <c r="A1171" s="36" t="s">
        <v>1448</v>
      </c>
      <c r="B1171" s="15" t="s">
        <v>1913</v>
      </c>
      <c r="C1171" s="2">
        <v>2</v>
      </c>
      <c r="E1171" s="2">
        <f>4+2</f>
        <v>6</v>
      </c>
      <c r="G1171" s="18">
        <f t="shared" si="60"/>
        <v>3</v>
      </c>
    </row>
    <row r="1172" spans="1:7" ht="12.75">
      <c r="A1172" s="36" t="s">
        <v>222</v>
      </c>
      <c r="B1172" s="15" t="s">
        <v>600</v>
      </c>
      <c r="C1172" s="2">
        <v>2</v>
      </c>
      <c r="E1172" s="4">
        <f>2+4</f>
        <v>6</v>
      </c>
      <c r="G1172" s="18">
        <f t="shared" si="60"/>
        <v>3</v>
      </c>
    </row>
    <row r="1173" spans="1:7" ht="12.75">
      <c r="A1173" s="36" t="s">
        <v>984</v>
      </c>
      <c r="B1173" s="15" t="s">
        <v>261</v>
      </c>
      <c r="C1173" s="2">
        <v>2</v>
      </c>
      <c r="E1173" s="4">
        <f>4+2</f>
        <v>6</v>
      </c>
      <c r="G1173" s="18">
        <f t="shared" si="60"/>
        <v>3</v>
      </c>
    </row>
    <row r="1174" spans="1:7" ht="12.75">
      <c r="A1174" s="36" t="s">
        <v>969</v>
      </c>
      <c r="B1174" s="15" t="s">
        <v>719</v>
      </c>
      <c r="C1174" s="2">
        <v>2</v>
      </c>
      <c r="E1174" s="4">
        <f>1+5</f>
        <v>6</v>
      </c>
      <c r="G1174" s="18">
        <f t="shared" si="60"/>
        <v>3</v>
      </c>
    </row>
    <row r="1175" spans="1:7" ht="12.75">
      <c r="A1175" s="36" t="s">
        <v>1728</v>
      </c>
      <c r="B1175" s="15" t="s">
        <v>765</v>
      </c>
      <c r="C1175" s="2">
        <v>3</v>
      </c>
      <c r="E1175" s="2">
        <f>3+2+1</f>
        <v>6</v>
      </c>
      <c r="G1175" s="18">
        <f t="shared" si="60"/>
        <v>2</v>
      </c>
    </row>
    <row r="1176" spans="1:7" ht="12.75">
      <c r="A1176" s="36" t="s">
        <v>348</v>
      </c>
      <c r="B1176" s="15" t="s">
        <v>569</v>
      </c>
      <c r="C1176" s="2">
        <v>3</v>
      </c>
      <c r="E1176" s="4">
        <f>1+1+4</f>
        <v>6</v>
      </c>
      <c r="G1176" s="18">
        <f t="shared" si="60"/>
        <v>2</v>
      </c>
    </row>
    <row r="1177" spans="1:7" ht="12.75">
      <c r="A1177" s="36" t="s">
        <v>1757</v>
      </c>
      <c r="B1177" s="15" t="s">
        <v>797</v>
      </c>
      <c r="C1177" s="2">
        <v>3</v>
      </c>
      <c r="E1177" s="2">
        <f>3+2+1</f>
        <v>6</v>
      </c>
      <c r="G1177" s="18">
        <f t="shared" si="60"/>
        <v>2</v>
      </c>
    </row>
    <row r="1178" spans="1:7" ht="12.75">
      <c r="A1178" s="36" t="s">
        <v>1783</v>
      </c>
      <c r="B1178" s="15" t="s">
        <v>1547</v>
      </c>
      <c r="C1178" s="2">
        <v>3</v>
      </c>
      <c r="E1178" s="2">
        <f>1+3+2</f>
        <v>6</v>
      </c>
      <c r="G1178" s="18">
        <f t="shared" si="60"/>
        <v>2</v>
      </c>
    </row>
    <row r="1179" spans="1:7" ht="12.75">
      <c r="A1179" s="36" t="s">
        <v>1464</v>
      </c>
      <c r="B1179" s="15" t="s">
        <v>1974</v>
      </c>
      <c r="C1179" s="2">
        <v>3</v>
      </c>
      <c r="E1179" s="2">
        <f>3+1+2</f>
        <v>6</v>
      </c>
      <c r="G1179" s="18">
        <f t="shared" si="60"/>
        <v>2</v>
      </c>
    </row>
    <row r="1180" spans="1:7" ht="12.75">
      <c r="A1180" s="36" t="s">
        <v>1799</v>
      </c>
      <c r="B1180" s="15" t="s">
        <v>303</v>
      </c>
      <c r="C1180" s="2">
        <v>3</v>
      </c>
      <c r="E1180" s="2">
        <f>1+4+1</f>
        <v>6</v>
      </c>
      <c r="G1180" s="18">
        <f t="shared" si="60"/>
        <v>2</v>
      </c>
    </row>
    <row r="1181" spans="1:7" ht="12.75">
      <c r="A1181" s="36" t="s">
        <v>1846</v>
      </c>
      <c r="B1181" s="15" t="s">
        <v>845</v>
      </c>
      <c r="C1181" s="2">
        <v>3</v>
      </c>
      <c r="E1181" s="2">
        <f>4+1+1</f>
        <v>6</v>
      </c>
      <c r="G1181" s="18">
        <f t="shared" si="60"/>
        <v>2</v>
      </c>
    </row>
    <row r="1182" spans="1:7" ht="12.75">
      <c r="A1182" s="36" t="s">
        <v>1907</v>
      </c>
      <c r="B1182" s="15" t="s">
        <v>485</v>
      </c>
      <c r="C1182" s="2">
        <v>3</v>
      </c>
      <c r="E1182" s="2">
        <f>2+2+2</f>
        <v>6</v>
      </c>
      <c r="G1182" s="18">
        <f t="shared" si="60"/>
        <v>2</v>
      </c>
    </row>
    <row r="1183" spans="1:7" ht="12.75">
      <c r="A1183" s="36" t="s">
        <v>1512</v>
      </c>
      <c r="B1183" s="15" t="s">
        <v>557</v>
      </c>
      <c r="C1183" s="2">
        <v>4</v>
      </c>
      <c r="E1183" s="2">
        <f>1+3+1+1</f>
        <v>6</v>
      </c>
      <c r="G1183" s="18">
        <f t="shared" si="60"/>
        <v>1.5</v>
      </c>
    </row>
    <row r="1184" spans="1:7" ht="12.75">
      <c r="A1184" s="36" t="s">
        <v>1758</v>
      </c>
      <c r="B1184" s="15" t="s">
        <v>795</v>
      </c>
      <c r="C1184" s="2">
        <v>4</v>
      </c>
      <c r="E1184" s="2">
        <f>1+3+1+1</f>
        <v>6</v>
      </c>
      <c r="G1184" s="18">
        <f t="shared" si="60"/>
        <v>1.5</v>
      </c>
    </row>
    <row r="1185" spans="1:7" ht="12.75">
      <c r="A1185" s="36" t="s">
        <v>1532</v>
      </c>
      <c r="B1185" s="15" t="s">
        <v>770</v>
      </c>
      <c r="C1185" s="2">
        <v>5</v>
      </c>
      <c r="E1185" s="2">
        <f>1+2+1+1+1</f>
        <v>6</v>
      </c>
      <c r="G1185" s="18">
        <f t="shared" si="60"/>
        <v>1.2</v>
      </c>
    </row>
    <row r="1186" spans="1:7" ht="12.75">
      <c r="A1186" s="36" t="s">
        <v>560</v>
      </c>
      <c r="B1186" s="15" t="s">
        <v>545</v>
      </c>
      <c r="C1186" s="2">
        <v>1</v>
      </c>
      <c r="E1186" s="4">
        <f>5</f>
        <v>5</v>
      </c>
      <c r="G1186" s="18">
        <f t="shared" si="60"/>
        <v>5</v>
      </c>
    </row>
    <row r="1187" spans="1:7" ht="12.75">
      <c r="A1187" s="36" t="s">
        <v>333</v>
      </c>
      <c r="B1187" s="15" t="s">
        <v>254</v>
      </c>
      <c r="C1187" s="2">
        <v>1</v>
      </c>
      <c r="E1187" s="4">
        <v>5</v>
      </c>
      <c r="G1187" s="18">
        <f t="shared" si="60"/>
        <v>5</v>
      </c>
    </row>
    <row r="1188" spans="1:7" ht="12.75">
      <c r="A1188" s="36" t="s">
        <v>1428</v>
      </c>
      <c r="B1188" s="15" t="s">
        <v>1058</v>
      </c>
      <c r="C1188" s="2">
        <v>1</v>
      </c>
      <c r="E1188" s="2">
        <v>5</v>
      </c>
      <c r="G1188" s="18">
        <f t="shared" si="60"/>
        <v>5</v>
      </c>
    </row>
    <row r="1189" spans="1:7" ht="12.75">
      <c r="A1189" s="36" t="s">
        <v>1816</v>
      </c>
      <c r="B1189" s="15" t="s">
        <v>1814</v>
      </c>
      <c r="C1189" s="2">
        <v>1</v>
      </c>
      <c r="E1189" s="2">
        <v>5</v>
      </c>
      <c r="G1189" s="18">
        <f t="shared" si="60"/>
        <v>5</v>
      </c>
    </row>
    <row r="1190" spans="1:7" ht="12.75">
      <c r="A1190" s="36" t="s">
        <v>821</v>
      </c>
      <c r="B1190" s="15" t="s">
        <v>816</v>
      </c>
      <c r="C1190" s="2">
        <v>1</v>
      </c>
      <c r="E1190" s="4">
        <f>5</f>
        <v>5</v>
      </c>
      <c r="G1190" s="18">
        <f t="shared" si="60"/>
        <v>5</v>
      </c>
    </row>
    <row r="1191" spans="1:7" ht="12.75">
      <c r="A1191" s="36" t="s">
        <v>477</v>
      </c>
      <c r="B1191" s="15" t="s">
        <v>472</v>
      </c>
      <c r="C1191" s="2">
        <v>1</v>
      </c>
      <c r="E1191" s="4">
        <v>5</v>
      </c>
      <c r="G1191" s="18">
        <f t="shared" si="60"/>
        <v>5</v>
      </c>
    </row>
    <row r="1192" spans="1:7" ht="12.75">
      <c r="A1192" s="36" t="s">
        <v>1454</v>
      </c>
      <c r="B1192" s="15" t="s">
        <v>1702</v>
      </c>
      <c r="C1192" s="2">
        <v>2</v>
      </c>
      <c r="E1192" s="2">
        <f>3+2</f>
        <v>5</v>
      </c>
      <c r="G1192" s="18">
        <f t="shared" si="60"/>
        <v>2.5</v>
      </c>
    </row>
    <row r="1193" spans="1:7" ht="12.75">
      <c r="A1193" s="36" t="s">
        <v>350</v>
      </c>
      <c r="B1193" s="15" t="s">
        <v>620</v>
      </c>
      <c r="C1193" s="2">
        <v>2</v>
      </c>
      <c r="E1193" s="4">
        <f>2+3</f>
        <v>5</v>
      </c>
      <c r="G1193" s="18">
        <f t="shared" si="60"/>
        <v>2.5</v>
      </c>
    </row>
    <row r="1194" spans="1:7" ht="12.75">
      <c r="A1194" s="36" t="s">
        <v>1604</v>
      </c>
      <c r="B1194" s="15" t="s">
        <v>1746</v>
      </c>
      <c r="C1194" s="2">
        <v>2</v>
      </c>
      <c r="E1194" s="4">
        <f>4+1</f>
        <v>5</v>
      </c>
      <c r="G1194" s="18">
        <f t="shared" si="60"/>
        <v>2.5</v>
      </c>
    </row>
    <row r="1195" spans="1:7" ht="12.75">
      <c r="A1195" s="36" t="s">
        <v>1486</v>
      </c>
      <c r="B1195" s="15" t="s">
        <v>1041</v>
      </c>
      <c r="C1195" s="2">
        <v>2</v>
      </c>
      <c r="E1195" s="2">
        <f>3+2</f>
        <v>5</v>
      </c>
      <c r="G1195" s="18">
        <f t="shared" si="60"/>
        <v>2.5</v>
      </c>
    </row>
    <row r="1196" spans="1:7" ht="12.75">
      <c r="A1196" s="36" t="s">
        <v>1485</v>
      </c>
      <c r="B1196" s="15" t="s">
        <v>1837</v>
      </c>
      <c r="C1196" s="2">
        <v>2</v>
      </c>
      <c r="E1196" s="2">
        <f>2+3</f>
        <v>5</v>
      </c>
      <c r="G1196" s="18">
        <f aca="true" t="shared" si="61" ref="G1196:G1259">IF(C1196=0,0,E1196/C1196)</f>
        <v>2.5</v>
      </c>
    </row>
    <row r="1197" spans="1:7" ht="12.75">
      <c r="A1197" s="36" t="s">
        <v>177</v>
      </c>
      <c r="B1197" s="15" t="s">
        <v>736</v>
      </c>
      <c r="C1197" s="2">
        <v>2</v>
      </c>
      <c r="E1197" s="4">
        <f>2+3</f>
        <v>5</v>
      </c>
      <c r="G1197" s="18">
        <f t="shared" si="61"/>
        <v>2.5</v>
      </c>
    </row>
    <row r="1198" spans="1:7" ht="12.75">
      <c r="A1198" s="36" t="s">
        <v>198</v>
      </c>
      <c r="B1198" s="15" t="s">
        <v>825</v>
      </c>
      <c r="C1198" s="2">
        <v>2</v>
      </c>
      <c r="E1198" s="4">
        <f>4+1</f>
        <v>5</v>
      </c>
      <c r="G1198" s="18">
        <f t="shared" si="61"/>
        <v>2.5</v>
      </c>
    </row>
    <row r="1199" spans="1:7" ht="12.75">
      <c r="A1199" s="36" t="s">
        <v>844</v>
      </c>
      <c r="B1199" s="15" t="s">
        <v>919</v>
      </c>
      <c r="C1199" s="2">
        <v>2</v>
      </c>
      <c r="E1199" s="4">
        <f>3+2</f>
        <v>5</v>
      </c>
      <c r="G1199" s="18">
        <f t="shared" si="61"/>
        <v>2.5</v>
      </c>
    </row>
    <row r="1200" spans="1:7" ht="12.75">
      <c r="A1200" s="36" t="s">
        <v>1449</v>
      </c>
      <c r="B1200" s="15" t="s">
        <v>1913</v>
      </c>
      <c r="C1200" s="2">
        <v>2</v>
      </c>
      <c r="E1200" s="2">
        <f>4+1</f>
        <v>5</v>
      </c>
      <c r="G1200" s="18">
        <f t="shared" si="61"/>
        <v>2.5</v>
      </c>
    </row>
    <row r="1201" spans="1:7" ht="12.75">
      <c r="A1201" s="36" t="s">
        <v>509</v>
      </c>
      <c r="B1201" s="15" t="s">
        <v>715</v>
      </c>
      <c r="C1201" s="2">
        <v>2</v>
      </c>
      <c r="E1201" s="4">
        <f>3+2</f>
        <v>5</v>
      </c>
      <c r="G1201" s="18">
        <f t="shared" si="61"/>
        <v>2.5</v>
      </c>
    </row>
    <row r="1202" spans="1:7" ht="12.75">
      <c r="A1202" s="36" t="s">
        <v>980</v>
      </c>
      <c r="B1202" s="15" t="s">
        <v>66</v>
      </c>
      <c r="C1202" s="2">
        <v>2</v>
      </c>
      <c r="E1202" s="4">
        <f>4+1</f>
        <v>5</v>
      </c>
      <c r="G1202" s="18">
        <f t="shared" si="61"/>
        <v>2.5</v>
      </c>
    </row>
    <row r="1203" spans="1:7" ht="12.75">
      <c r="A1203" s="36" t="s">
        <v>1620</v>
      </c>
      <c r="B1203" s="15" t="s">
        <v>970</v>
      </c>
      <c r="C1203" s="2">
        <v>3</v>
      </c>
      <c r="E1203" s="4">
        <f>2+2+1</f>
        <v>5</v>
      </c>
      <c r="G1203" s="18">
        <f t="shared" si="61"/>
        <v>1.6666666666666667</v>
      </c>
    </row>
    <row r="1204" spans="1:7" ht="12.75">
      <c r="A1204" s="36" t="s">
        <v>1729</v>
      </c>
      <c r="B1204" s="15" t="s">
        <v>602</v>
      </c>
      <c r="C1204" s="2">
        <v>3</v>
      </c>
      <c r="E1204" s="2">
        <f>2+1+2</f>
        <v>5</v>
      </c>
      <c r="G1204" s="18">
        <f t="shared" si="61"/>
        <v>1.6666666666666667</v>
      </c>
    </row>
    <row r="1205" spans="1:7" ht="12.75">
      <c r="A1205" s="36" t="s">
        <v>178</v>
      </c>
      <c r="B1205" s="15" t="s">
        <v>62</v>
      </c>
      <c r="C1205" s="2">
        <v>3</v>
      </c>
      <c r="E1205" s="4">
        <f>2+2+1</f>
        <v>5</v>
      </c>
      <c r="G1205" s="18">
        <f t="shared" si="61"/>
        <v>1.6666666666666667</v>
      </c>
    </row>
    <row r="1206" spans="1:7" ht="12.75">
      <c r="A1206" s="36" t="s">
        <v>1527</v>
      </c>
      <c r="B1206" s="15" t="s">
        <v>1548</v>
      </c>
      <c r="C1206" s="2">
        <v>3</v>
      </c>
      <c r="E1206" s="2">
        <f>1+2+2</f>
        <v>5</v>
      </c>
      <c r="G1206" s="18">
        <f t="shared" si="61"/>
        <v>1.6666666666666667</v>
      </c>
    </row>
    <row r="1207" spans="1:7" ht="12.75">
      <c r="A1207" s="36" t="s">
        <v>1621</v>
      </c>
      <c r="B1207" s="15" t="s">
        <v>466</v>
      </c>
      <c r="C1207" s="2">
        <v>3</v>
      </c>
      <c r="E1207" s="4">
        <f>2+1+2</f>
        <v>5</v>
      </c>
      <c r="G1207" s="18">
        <f t="shared" si="61"/>
        <v>1.6666666666666667</v>
      </c>
    </row>
    <row r="1208" spans="1:7" ht="12.75">
      <c r="A1208" s="36" t="s">
        <v>1896</v>
      </c>
      <c r="B1208" s="15" t="s">
        <v>575</v>
      </c>
      <c r="C1208" s="2">
        <v>3</v>
      </c>
      <c r="E1208" s="2">
        <f>1+3+1</f>
        <v>5</v>
      </c>
      <c r="G1208" s="18">
        <f t="shared" si="61"/>
        <v>1.6666666666666667</v>
      </c>
    </row>
    <row r="1209" spans="1:7" ht="12.75">
      <c r="A1209" s="36" t="s">
        <v>1596</v>
      </c>
      <c r="B1209" s="15" t="s">
        <v>587</v>
      </c>
      <c r="C1209" s="2">
        <v>3</v>
      </c>
      <c r="E1209" s="2">
        <f>1+3+1</f>
        <v>5</v>
      </c>
      <c r="G1209" s="18">
        <f t="shared" si="61"/>
        <v>1.6666666666666667</v>
      </c>
    </row>
    <row r="1210" spans="1:7" ht="12.75">
      <c r="A1210" s="36" t="s">
        <v>1498</v>
      </c>
      <c r="B1210" s="15" t="s">
        <v>491</v>
      </c>
      <c r="C1210" s="2">
        <v>3</v>
      </c>
      <c r="E1210" s="2">
        <f>2+1+2</f>
        <v>5</v>
      </c>
      <c r="G1210" s="18">
        <f t="shared" si="61"/>
        <v>1.6666666666666667</v>
      </c>
    </row>
    <row r="1211" spans="1:7" ht="12.75">
      <c r="A1211" s="36" t="s">
        <v>489</v>
      </c>
      <c r="B1211" s="15" t="s">
        <v>445</v>
      </c>
      <c r="C1211" s="2">
        <v>3</v>
      </c>
      <c r="E1211" s="4">
        <f>1+2+2</f>
        <v>5</v>
      </c>
      <c r="G1211" s="18">
        <f t="shared" si="61"/>
        <v>1.6666666666666667</v>
      </c>
    </row>
    <row r="1212" spans="1:7" ht="12.75">
      <c r="A1212" s="36" t="s">
        <v>1930</v>
      </c>
      <c r="B1212" s="15" t="s">
        <v>490</v>
      </c>
      <c r="C1212" s="2">
        <v>3</v>
      </c>
      <c r="E1212" s="2">
        <f>2+2+1</f>
        <v>5</v>
      </c>
      <c r="G1212" s="18">
        <f t="shared" si="61"/>
        <v>1.6666666666666667</v>
      </c>
    </row>
    <row r="1213" spans="1:7" ht="12.75">
      <c r="A1213" s="36" t="s">
        <v>224</v>
      </c>
      <c r="B1213" s="15" t="s">
        <v>966</v>
      </c>
      <c r="C1213" s="2">
        <v>3</v>
      </c>
      <c r="E1213" s="4">
        <f>2+2+1</f>
        <v>5</v>
      </c>
      <c r="G1213" s="18">
        <f t="shared" si="61"/>
        <v>1.6666666666666667</v>
      </c>
    </row>
    <row r="1214" spans="1:7" ht="12.75">
      <c r="A1214" s="36" t="s">
        <v>1631</v>
      </c>
      <c r="B1214" s="15" t="s">
        <v>811</v>
      </c>
      <c r="C1214" s="2">
        <v>4</v>
      </c>
      <c r="E1214" s="4">
        <f>1+1+2+1</f>
        <v>5</v>
      </c>
      <c r="G1214" s="18">
        <f t="shared" si="61"/>
        <v>1.25</v>
      </c>
    </row>
    <row r="1215" spans="1:7" ht="12.75">
      <c r="A1215" s="36" t="s">
        <v>221</v>
      </c>
      <c r="B1215" s="15" t="s">
        <v>761</v>
      </c>
      <c r="C1215" s="2">
        <v>4</v>
      </c>
      <c r="E1215" s="4">
        <f>1+2+1+1</f>
        <v>5</v>
      </c>
      <c r="G1215" s="18">
        <f t="shared" si="61"/>
        <v>1.25</v>
      </c>
    </row>
    <row r="1216" spans="1:7" ht="12.75">
      <c r="A1216" s="36" t="s">
        <v>1606</v>
      </c>
      <c r="B1216" s="15" t="s">
        <v>1372</v>
      </c>
      <c r="C1216" s="2">
        <v>1</v>
      </c>
      <c r="E1216" s="4">
        <v>4</v>
      </c>
      <c r="G1216" s="18">
        <f t="shared" si="61"/>
        <v>4</v>
      </c>
    </row>
    <row r="1217" spans="1:7" ht="12.75">
      <c r="A1217" s="36" t="s">
        <v>1435</v>
      </c>
      <c r="B1217" s="15" t="s">
        <v>1186</v>
      </c>
      <c r="C1217" s="2">
        <v>1</v>
      </c>
      <c r="E1217" s="2">
        <v>4</v>
      </c>
      <c r="G1217" s="18">
        <f t="shared" si="61"/>
        <v>4</v>
      </c>
    </row>
    <row r="1218" spans="1:7" ht="12.75">
      <c r="A1218" s="36" t="s">
        <v>668</v>
      </c>
      <c r="B1218" s="15" t="s">
        <v>663</v>
      </c>
      <c r="C1218" s="2">
        <v>1</v>
      </c>
      <c r="E1218" s="4">
        <f>4</f>
        <v>4</v>
      </c>
      <c r="G1218" s="18">
        <f t="shared" si="61"/>
        <v>4</v>
      </c>
    </row>
    <row r="1219" spans="1:7" ht="12.75">
      <c r="A1219" s="36" t="s">
        <v>1441</v>
      </c>
      <c r="B1219" s="15" t="s">
        <v>1019</v>
      </c>
      <c r="C1219" s="2">
        <v>1</v>
      </c>
      <c r="E1219" s="2">
        <v>4</v>
      </c>
      <c r="G1219" s="18">
        <f t="shared" si="61"/>
        <v>4</v>
      </c>
    </row>
    <row r="1220" spans="1:7" ht="12.75">
      <c r="A1220" s="36" t="s">
        <v>1259</v>
      </c>
      <c r="B1220" s="15" t="s">
        <v>1254</v>
      </c>
      <c r="C1220" s="2">
        <v>1</v>
      </c>
      <c r="E1220" s="4">
        <f>4</f>
        <v>4</v>
      </c>
      <c r="G1220" s="18">
        <f t="shared" si="61"/>
        <v>4</v>
      </c>
    </row>
    <row r="1221" spans="1:7" ht="12.75">
      <c r="A1221" s="36" t="s">
        <v>429</v>
      </c>
      <c r="B1221" s="15" t="s">
        <v>422</v>
      </c>
      <c r="C1221" s="2">
        <v>1</v>
      </c>
      <c r="E1221" s="4">
        <v>4</v>
      </c>
      <c r="G1221" s="18">
        <f t="shared" si="61"/>
        <v>4</v>
      </c>
    </row>
    <row r="1222" spans="1:7" ht="12.75">
      <c r="A1222" s="36" t="s">
        <v>1445</v>
      </c>
      <c r="B1222" s="15" t="s">
        <v>1070</v>
      </c>
      <c r="C1222" s="2">
        <v>1</v>
      </c>
      <c r="E1222" s="2">
        <v>4</v>
      </c>
      <c r="G1222" s="18">
        <f t="shared" si="61"/>
        <v>4</v>
      </c>
    </row>
    <row r="1223" spans="1:7" ht="12.75">
      <c r="A1223" s="36" t="s">
        <v>1450</v>
      </c>
      <c r="B1223" s="15" t="s">
        <v>1082</v>
      </c>
      <c r="C1223" s="2">
        <v>1</v>
      </c>
      <c r="E1223" s="2">
        <v>4</v>
      </c>
      <c r="G1223" s="18">
        <f t="shared" si="61"/>
        <v>4</v>
      </c>
    </row>
    <row r="1224" spans="1:7" ht="12.75">
      <c r="A1224" s="36" t="s">
        <v>230</v>
      </c>
      <c r="B1224" s="15" t="s">
        <v>24</v>
      </c>
      <c r="C1224" s="2">
        <v>1</v>
      </c>
      <c r="E1224" s="4">
        <v>4</v>
      </c>
      <c r="G1224" s="18">
        <f t="shared" si="61"/>
        <v>4</v>
      </c>
    </row>
    <row r="1225" spans="1:7" ht="12.75">
      <c r="A1225" s="36" t="s">
        <v>1613</v>
      </c>
      <c r="B1225" s="15" t="s">
        <v>153</v>
      </c>
      <c r="C1225" s="2">
        <v>2</v>
      </c>
      <c r="E1225" s="4">
        <f>3+1</f>
        <v>4</v>
      </c>
      <c r="G1225" s="18">
        <f t="shared" si="61"/>
        <v>2</v>
      </c>
    </row>
    <row r="1226" spans="1:7" ht="12.75">
      <c r="A1226" s="36" t="s">
        <v>1456</v>
      </c>
      <c r="B1226" s="15" t="s">
        <v>1709</v>
      </c>
      <c r="C1226" s="2">
        <v>2</v>
      </c>
      <c r="E1226" s="2">
        <f>3+1</f>
        <v>4</v>
      </c>
      <c r="G1226" s="18">
        <f t="shared" si="61"/>
        <v>2</v>
      </c>
    </row>
    <row r="1227" spans="1:7" ht="12.75">
      <c r="A1227" s="36" t="s">
        <v>155</v>
      </c>
      <c r="B1227" s="15" t="s">
        <v>248</v>
      </c>
      <c r="C1227" s="2">
        <v>2</v>
      </c>
      <c r="E1227" s="4">
        <f>1+3</f>
        <v>4</v>
      </c>
      <c r="G1227" s="18">
        <f t="shared" si="61"/>
        <v>2</v>
      </c>
    </row>
    <row r="1228" spans="1:7" ht="12.75">
      <c r="A1228" s="36" t="s">
        <v>1610</v>
      </c>
      <c r="B1228" s="15" t="s">
        <v>1740</v>
      </c>
      <c r="C1228" s="2">
        <v>2</v>
      </c>
      <c r="E1228" s="4">
        <f>3+1</f>
        <v>4</v>
      </c>
      <c r="G1228" s="18">
        <f t="shared" si="61"/>
        <v>2</v>
      </c>
    </row>
    <row r="1229" spans="1:7" ht="12.75">
      <c r="A1229" s="36" t="s">
        <v>1755</v>
      </c>
      <c r="B1229" s="15" t="s">
        <v>172</v>
      </c>
      <c r="C1229" s="2">
        <v>2</v>
      </c>
      <c r="E1229" s="2">
        <f>3+1</f>
        <v>4</v>
      </c>
      <c r="G1229" s="18">
        <f t="shared" si="61"/>
        <v>2</v>
      </c>
    </row>
    <row r="1230" spans="1:7" ht="12.75">
      <c r="A1230" s="36" t="s">
        <v>1768</v>
      </c>
      <c r="B1230" s="15" t="s">
        <v>667</v>
      </c>
      <c r="C1230" s="2">
        <v>2</v>
      </c>
      <c r="E1230" s="2">
        <f>2+2</f>
        <v>4</v>
      </c>
      <c r="G1230" s="18">
        <f t="shared" si="61"/>
        <v>2</v>
      </c>
    </row>
    <row r="1231" spans="1:7" ht="12.75">
      <c r="A1231" s="36" t="s">
        <v>1488</v>
      </c>
      <c r="B1231" s="15" t="s">
        <v>1784</v>
      </c>
      <c r="C1231" s="2">
        <v>2</v>
      </c>
      <c r="E1231" s="2">
        <f>2+2</f>
        <v>4</v>
      </c>
      <c r="G1231" s="18">
        <f t="shared" si="61"/>
        <v>2</v>
      </c>
    </row>
    <row r="1232" spans="1:7" ht="12.75">
      <c r="A1232" s="36" t="s">
        <v>1463</v>
      </c>
      <c r="B1232" s="15" t="s">
        <v>1784</v>
      </c>
      <c r="C1232" s="2">
        <v>2</v>
      </c>
      <c r="E1232" s="2">
        <f>3+1</f>
        <v>4</v>
      </c>
      <c r="G1232" s="18">
        <f t="shared" si="61"/>
        <v>2</v>
      </c>
    </row>
    <row r="1233" spans="1:7" ht="12.75">
      <c r="A1233" s="36" t="s">
        <v>1489</v>
      </c>
      <c r="B1233" s="15" t="s">
        <v>181</v>
      </c>
      <c r="C1233" s="2">
        <v>2</v>
      </c>
      <c r="E1233" s="2">
        <f>2+2</f>
        <v>4</v>
      </c>
      <c r="G1233" s="18">
        <f t="shared" si="61"/>
        <v>2</v>
      </c>
    </row>
    <row r="1234" spans="1:7" ht="12.75">
      <c r="A1234" s="36" t="s">
        <v>782</v>
      </c>
      <c r="B1234" s="15" t="s">
        <v>299</v>
      </c>
      <c r="C1234" s="2">
        <v>2</v>
      </c>
      <c r="E1234" s="4">
        <f>2+2</f>
        <v>4</v>
      </c>
      <c r="G1234" s="18">
        <f t="shared" si="61"/>
        <v>2</v>
      </c>
    </row>
    <row r="1235" spans="1:7" ht="12.75">
      <c r="A1235" s="36" t="s">
        <v>831</v>
      </c>
      <c r="B1235" s="15" t="s">
        <v>1563</v>
      </c>
      <c r="C1235" s="2">
        <v>2</v>
      </c>
      <c r="E1235" s="4">
        <f>2+2</f>
        <v>4</v>
      </c>
      <c r="G1235" s="18">
        <f t="shared" si="61"/>
        <v>2</v>
      </c>
    </row>
    <row r="1236" spans="1:7" ht="12.75">
      <c r="A1236" s="36" t="s">
        <v>1608</v>
      </c>
      <c r="B1236" s="15" t="s">
        <v>1893</v>
      </c>
      <c r="C1236" s="2">
        <v>2</v>
      </c>
      <c r="E1236" s="4">
        <f>3+1</f>
        <v>4</v>
      </c>
      <c r="G1236" s="18">
        <f t="shared" si="61"/>
        <v>2</v>
      </c>
    </row>
    <row r="1237" spans="1:7" ht="12.75">
      <c r="A1237" s="36" t="s">
        <v>867</v>
      </c>
      <c r="B1237" s="15" t="s">
        <v>315</v>
      </c>
      <c r="C1237" s="2">
        <v>2</v>
      </c>
      <c r="E1237" s="4">
        <f>3+1</f>
        <v>4</v>
      </c>
      <c r="G1237" s="18">
        <f t="shared" si="61"/>
        <v>2</v>
      </c>
    </row>
    <row r="1238" spans="1:7" ht="12.75">
      <c r="A1238" s="36" t="s">
        <v>1499</v>
      </c>
      <c r="B1238" s="15" t="s">
        <v>953</v>
      </c>
      <c r="C1238" s="2">
        <v>2</v>
      </c>
      <c r="E1238" s="2">
        <f>2+2</f>
        <v>4</v>
      </c>
      <c r="G1238" s="18">
        <f t="shared" si="61"/>
        <v>2</v>
      </c>
    </row>
    <row r="1239" spans="1:7" ht="12.75">
      <c r="A1239" s="36" t="s">
        <v>501</v>
      </c>
      <c r="B1239" s="15" t="s">
        <v>112</v>
      </c>
      <c r="C1239" s="2">
        <v>2</v>
      </c>
      <c r="E1239" s="4">
        <f>3+1</f>
        <v>4</v>
      </c>
      <c r="G1239" s="18">
        <f t="shared" si="61"/>
        <v>2</v>
      </c>
    </row>
    <row r="1240" spans="1:7" ht="12.75">
      <c r="A1240" s="36" t="s">
        <v>498</v>
      </c>
      <c r="B1240" s="15" t="s">
        <v>112</v>
      </c>
      <c r="C1240" s="2">
        <v>2</v>
      </c>
      <c r="E1240" s="4">
        <f>1+3</f>
        <v>4</v>
      </c>
      <c r="G1240" s="18">
        <f t="shared" si="61"/>
        <v>2</v>
      </c>
    </row>
    <row r="1241" spans="1:7" ht="12.75">
      <c r="A1241" s="36" t="s">
        <v>1472</v>
      </c>
      <c r="B1241" s="15" t="s">
        <v>231</v>
      </c>
      <c r="C1241" s="2">
        <v>2</v>
      </c>
      <c r="E1241" s="2">
        <f>3+1</f>
        <v>4</v>
      </c>
      <c r="G1241" s="18">
        <f t="shared" si="61"/>
        <v>2</v>
      </c>
    </row>
    <row r="1242" spans="1:7" ht="12.75">
      <c r="A1242" s="36" t="s">
        <v>1480</v>
      </c>
      <c r="B1242" s="15" t="s">
        <v>93</v>
      </c>
      <c r="C1242" s="2">
        <v>3</v>
      </c>
      <c r="E1242" s="2">
        <f>2+1+1</f>
        <v>4</v>
      </c>
      <c r="G1242" s="18">
        <f t="shared" si="61"/>
        <v>1.3333333333333333</v>
      </c>
    </row>
    <row r="1243" spans="1:7" ht="12.75">
      <c r="A1243" s="36" t="s">
        <v>168</v>
      </c>
      <c r="B1243" s="15" t="s">
        <v>658</v>
      </c>
      <c r="C1243" s="2">
        <v>3</v>
      </c>
      <c r="E1243" s="4">
        <f>1+2+1</f>
        <v>4</v>
      </c>
      <c r="G1243" s="18">
        <f t="shared" si="61"/>
        <v>1.3333333333333333</v>
      </c>
    </row>
    <row r="1244" spans="1:7" ht="12.75">
      <c r="A1244" s="36" t="s">
        <v>1588</v>
      </c>
      <c r="B1244" s="15" t="s">
        <v>179</v>
      </c>
      <c r="C1244" s="2">
        <v>3</v>
      </c>
      <c r="E1244" s="2">
        <f>1+1+2</f>
        <v>4</v>
      </c>
      <c r="G1244" s="18">
        <f t="shared" si="61"/>
        <v>1.3333333333333333</v>
      </c>
    </row>
    <row r="1245" spans="1:7" ht="12.75">
      <c r="A1245" s="36" t="s">
        <v>1849</v>
      </c>
      <c r="B1245" s="15" t="s">
        <v>923</v>
      </c>
      <c r="C1245" s="2">
        <v>3</v>
      </c>
      <c r="E1245" s="2">
        <f>1+2+1</f>
        <v>4</v>
      </c>
      <c r="G1245" s="18">
        <f t="shared" si="61"/>
        <v>1.3333333333333333</v>
      </c>
    </row>
    <row r="1246" spans="1:7" ht="12.75">
      <c r="A1246" s="36" t="s">
        <v>1919</v>
      </c>
      <c r="B1246" s="15" t="s">
        <v>659</v>
      </c>
      <c r="C1246" s="2">
        <v>3</v>
      </c>
      <c r="E1246" s="2">
        <f>1+2+1</f>
        <v>4</v>
      </c>
      <c r="G1246" s="18">
        <f t="shared" si="61"/>
        <v>1.3333333333333333</v>
      </c>
    </row>
    <row r="1247" spans="1:7" ht="12.75">
      <c r="A1247" s="36" t="s">
        <v>205</v>
      </c>
      <c r="B1247" s="15" t="s">
        <v>1565</v>
      </c>
      <c r="C1247" s="2">
        <v>3</v>
      </c>
      <c r="E1247" s="4">
        <f>1+2+1</f>
        <v>4</v>
      </c>
      <c r="G1247" s="18">
        <f t="shared" si="61"/>
        <v>1.3333333333333333</v>
      </c>
    </row>
    <row r="1248" spans="1:7" ht="12.75">
      <c r="A1248" s="36" t="s">
        <v>1929</v>
      </c>
      <c r="B1248" s="15" t="s">
        <v>628</v>
      </c>
      <c r="C1248" s="2">
        <v>3</v>
      </c>
      <c r="E1248" s="2">
        <f>2+1+1</f>
        <v>4</v>
      </c>
      <c r="G1248" s="18">
        <f t="shared" si="61"/>
        <v>1.3333333333333333</v>
      </c>
    </row>
    <row r="1249" spans="1:7" ht="12.75">
      <c r="A1249" s="36" t="s">
        <v>1941</v>
      </c>
      <c r="B1249" s="15" t="s">
        <v>1582</v>
      </c>
      <c r="C1249" s="2">
        <v>3</v>
      </c>
      <c r="E1249" s="2">
        <f>1+2+1</f>
        <v>4</v>
      </c>
      <c r="G1249" s="18">
        <f t="shared" si="61"/>
        <v>1.3333333333333333</v>
      </c>
    </row>
    <row r="1250" spans="1:7" ht="12.75">
      <c r="A1250" s="36" t="s">
        <v>183</v>
      </c>
      <c r="B1250" s="15" t="s">
        <v>906</v>
      </c>
      <c r="C1250" s="2">
        <v>4</v>
      </c>
      <c r="E1250" s="4">
        <f>1+1+1+1</f>
        <v>4</v>
      </c>
      <c r="G1250" s="18">
        <f t="shared" si="61"/>
        <v>1</v>
      </c>
    </row>
    <row r="1251" spans="1:7" ht="12.75">
      <c r="A1251" s="36" t="s">
        <v>1611</v>
      </c>
      <c r="B1251" s="15" t="s">
        <v>1374</v>
      </c>
      <c r="C1251" s="2">
        <v>1</v>
      </c>
      <c r="E1251" s="4">
        <v>3</v>
      </c>
      <c r="G1251" s="18">
        <f t="shared" si="61"/>
        <v>3</v>
      </c>
    </row>
    <row r="1252" spans="1:7" ht="12.75">
      <c r="A1252" s="36" t="s">
        <v>1452</v>
      </c>
      <c r="B1252" s="15" t="s">
        <v>1085</v>
      </c>
      <c r="C1252" s="2">
        <v>1</v>
      </c>
      <c r="D1252" s="37"/>
      <c r="E1252" s="2">
        <v>3</v>
      </c>
      <c r="G1252" s="18">
        <f t="shared" si="61"/>
        <v>3</v>
      </c>
    </row>
    <row r="1253" spans="1:7" ht="12.75">
      <c r="A1253" s="36" t="s">
        <v>252</v>
      </c>
      <c r="B1253" s="15" t="s">
        <v>250</v>
      </c>
      <c r="C1253" s="2">
        <v>1</v>
      </c>
      <c r="E1253" s="4">
        <v>3</v>
      </c>
      <c r="G1253" s="18">
        <f t="shared" si="61"/>
        <v>3</v>
      </c>
    </row>
    <row r="1254" spans="1:7" ht="12.75">
      <c r="A1254" s="36" t="s">
        <v>586</v>
      </c>
      <c r="B1254" s="15" t="s">
        <v>542</v>
      </c>
      <c r="C1254" s="2">
        <v>1</v>
      </c>
      <c r="E1254" s="4">
        <f>3</f>
        <v>3</v>
      </c>
      <c r="G1254" s="18">
        <f t="shared" si="61"/>
        <v>3</v>
      </c>
    </row>
    <row r="1255" spans="1:7" ht="12.75">
      <c r="A1255" s="36" t="s">
        <v>1609</v>
      </c>
      <c r="B1255" s="15" t="s">
        <v>1188</v>
      </c>
      <c r="C1255" s="2">
        <v>1</v>
      </c>
      <c r="E1255" s="4">
        <v>3</v>
      </c>
      <c r="G1255" s="18">
        <f t="shared" si="61"/>
        <v>3</v>
      </c>
    </row>
    <row r="1256" spans="1:7" ht="12.75">
      <c r="A1256" s="36" t="s">
        <v>165</v>
      </c>
      <c r="B1256" s="15" t="s">
        <v>1960</v>
      </c>
      <c r="C1256" s="2">
        <v>1</v>
      </c>
      <c r="E1256" s="4">
        <v>3</v>
      </c>
      <c r="G1256" s="18">
        <f t="shared" si="61"/>
        <v>3</v>
      </c>
    </row>
    <row r="1257" spans="1:7" ht="12.75">
      <c r="A1257" s="36" t="s">
        <v>1612</v>
      </c>
      <c r="B1257" s="15" t="s">
        <v>1091</v>
      </c>
      <c r="C1257" s="2">
        <v>1</v>
      </c>
      <c r="E1257" s="4">
        <v>3</v>
      </c>
      <c r="G1257" s="18">
        <f t="shared" si="61"/>
        <v>3</v>
      </c>
    </row>
    <row r="1258" spans="1:7" ht="12.75">
      <c r="A1258" s="36" t="s">
        <v>1459</v>
      </c>
      <c r="B1258" s="15" t="s">
        <v>1362</v>
      </c>
      <c r="C1258" s="2">
        <v>1</v>
      </c>
      <c r="E1258" s="2">
        <v>3</v>
      </c>
      <c r="G1258" s="18">
        <f t="shared" si="61"/>
        <v>3</v>
      </c>
    </row>
    <row r="1259" spans="1:7" ht="12.75">
      <c r="A1259" s="36" t="s">
        <v>1874</v>
      </c>
      <c r="B1259" s="15" t="s">
        <v>1865</v>
      </c>
      <c r="C1259" s="2">
        <v>1</v>
      </c>
      <c r="E1259" s="4">
        <f>3</f>
        <v>3</v>
      </c>
      <c r="G1259" s="18">
        <f t="shared" si="61"/>
        <v>3</v>
      </c>
    </row>
    <row r="1260" spans="1:7" ht="12.75">
      <c r="A1260" s="36" t="s">
        <v>1875</v>
      </c>
      <c r="B1260" s="15" t="s">
        <v>1865</v>
      </c>
      <c r="C1260" s="2">
        <v>1</v>
      </c>
      <c r="E1260" s="4">
        <f>3</f>
        <v>3</v>
      </c>
      <c r="G1260" s="18">
        <f aca="true" t="shared" si="62" ref="G1260:G1323">IF(C1260=0,0,E1260/C1260)</f>
        <v>3</v>
      </c>
    </row>
    <row r="1261" spans="1:7" ht="12.75">
      <c r="A1261" s="36" t="s">
        <v>1759</v>
      </c>
      <c r="B1261" s="15" t="s">
        <v>1753</v>
      </c>
      <c r="C1261" s="2">
        <v>1</v>
      </c>
      <c r="E1261" s="2">
        <v>3</v>
      </c>
      <c r="G1261" s="18">
        <f t="shared" si="62"/>
        <v>3</v>
      </c>
    </row>
    <row r="1262" spans="1:7" ht="12.75">
      <c r="A1262" s="36" t="s">
        <v>388</v>
      </c>
      <c r="B1262" s="15" t="s">
        <v>384</v>
      </c>
      <c r="C1262" s="2">
        <v>1</v>
      </c>
      <c r="E1262" s="4">
        <v>3</v>
      </c>
      <c r="G1262" s="18">
        <f t="shared" si="62"/>
        <v>3</v>
      </c>
    </row>
    <row r="1263" spans="1:7" ht="12.75">
      <c r="A1263" s="36" t="s">
        <v>1462</v>
      </c>
      <c r="B1263" s="15" t="s">
        <v>1017</v>
      </c>
      <c r="C1263" s="2">
        <v>1</v>
      </c>
      <c r="E1263" s="2">
        <v>3</v>
      </c>
      <c r="G1263" s="18">
        <f t="shared" si="62"/>
        <v>3</v>
      </c>
    </row>
    <row r="1264" spans="1:7" ht="12.75">
      <c r="A1264" s="36" t="s">
        <v>1789</v>
      </c>
      <c r="B1264" s="15" t="s">
        <v>1786</v>
      </c>
      <c r="C1264" s="2">
        <v>1</v>
      </c>
      <c r="E1264" s="2">
        <v>3</v>
      </c>
      <c r="G1264" s="18">
        <f t="shared" si="62"/>
        <v>3</v>
      </c>
    </row>
    <row r="1265" spans="1:7" ht="12.75">
      <c r="A1265" s="36" t="s">
        <v>1465</v>
      </c>
      <c r="B1265" s="15" t="s">
        <v>1021</v>
      </c>
      <c r="C1265" s="2">
        <v>1</v>
      </c>
      <c r="E1265" s="2">
        <v>3</v>
      </c>
      <c r="G1265" s="18">
        <f t="shared" si="62"/>
        <v>3</v>
      </c>
    </row>
    <row r="1266" spans="1:7" ht="12.75">
      <c r="A1266" s="36" t="s">
        <v>1817</v>
      </c>
      <c r="B1266" s="15" t="s">
        <v>1814</v>
      </c>
      <c r="C1266" s="2">
        <v>1</v>
      </c>
      <c r="E1266" s="2">
        <v>3</v>
      </c>
      <c r="G1266" s="18">
        <f t="shared" si="62"/>
        <v>3</v>
      </c>
    </row>
    <row r="1267" spans="1:7" ht="12.75">
      <c r="A1267" s="36" t="s">
        <v>192</v>
      </c>
      <c r="B1267" s="15" t="s">
        <v>1977</v>
      </c>
      <c r="C1267" s="2">
        <v>1</v>
      </c>
      <c r="E1267" s="4">
        <v>3</v>
      </c>
      <c r="G1267" s="18">
        <f t="shared" si="62"/>
        <v>3</v>
      </c>
    </row>
    <row r="1268" spans="1:7" ht="12.75">
      <c r="A1268" s="36" t="s">
        <v>1466</v>
      </c>
      <c r="B1268" s="15" t="s">
        <v>1067</v>
      </c>
      <c r="C1268" s="2">
        <v>1</v>
      </c>
      <c r="E1268" s="2">
        <v>3</v>
      </c>
      <c r="G1268" s="18">
        <f t="shared" si="62"/>
        <v>3</v>
      </c>
    </row>
    <row r="1269" spans="1:7" ht="12.75">
      <c r="A1269" s="36" t="s">
        <v>195</v>
      </c>
      <c r="B1269" s="15" t="s">
        <v>1980</v>
      </c>
      <c r="C1269" s="2">
        <v>1</v>
      </c>
      <c r="E1269" s="4">
        <v>3</v>
      </c>
      <c r="G1269" s="18">
        <f t="shared" si="62"/>
        <v>3</v>
      </c>
    </row>
    <row r="1270" spans="1:7" ht="12.75">
      <c r="A1270" s="36" t="s">
        <v>1567</v>
      </c>
      <c r="B1270" s="15" t="s">
        <v>1552</v>
      </c>
      <c r="C1270" s="2">
        <v>1</v>
      </c>
      <c r="E1270" s="4">
        <f>3</f>
        <v>3</v>
      </c>
      <c r="G1270" s="18">
        <f t="shared" si="62"/>
        <v>3</v>
      </c>
    </row>
    <row r="1271" spans="1:7" ht="12.75">
      <c r="A1271" s="36" t="s">
        <v>1467</v>
      </c>
      <c r="B1271" s="15" t="s">
        <v>1045</v>
      </c>
      <c r="C1271" s="2">
        <v>1</v>
      </c>
      <c r="E1271" s="2">
        <v>3</v>
      </c>
      <c r="G1271" s="18">
        <f t="shared" si="62"/>
        <v>3</v>
      </c>
    </row>
    <row r="1272" spans="1:7" ht="12.75">
      <c r="A1272" s="36" t="s">
        <v>460</v>
      </c>
      <c r="B1272" s="15" t="s">
        <v>456</v>
      </c>
      <c r="C1272" s="2">
        <v>1</v>
      </c>
      <c r="E1272" s="4">
        <v>3</v>
      </c>
      <c r="G1272" s="18">
        <f t="shared" si="62"/>
        <v>3</v>
      </c>
    </row>
    <row r="1273" spans="1:7" ht="12.75">
      <c r="A1273" s="36" t="s">
        <v>846</v>
      </c>
      <c r="B1273" s="15" t="s">
        <v>840</v>
      </c>
      <c r="C1273" s="2">
        <v>1</v>
      </c>
      <c r="E1273" s="4">
        <f>3</f>
        <v>3</v>
      </c>
      <c r="G1273" s="18">
        <f t="shared" si="62"/>
        <v>3</v>
      </c>
    </row>
    <row r="1274" spans="1:7" ht="12.75">
      <c r="A1274" s="36" t="s">
        <v>1469</v>
      </c>
      <c r="B1274" s="15" t="s">
        <v>1030</v>
      </c>
      <c r="C1274" s="2">
        <v>1</v>
      </c>
      <c r="E1274" s="2">
        <v>3</v>
      </c>
      <c r="G1274" s="18">
        <f t="shared" si="62"/>
        <v>3</v>
      </c>
    </row>
    <row r="1275" spans="1:7" ht="12.75">
      <c r="A1275" s="36" t="s">
        <v>887</v>
      </c>
      <c r="B1275" s="15" t="s">
        <v>878</v>
      </c>
      <c r="C1275" s="2">
        <v>1</v>
      </c>
      <c r="E1275" s="4">
        <f>3</f>
        <v>3</v>
      </c>
      <c r="G1275" s="18">
        <f t="shared" si="62"/>
        <v>3</v>
      </c>
    </row>
    <row r="1276" spans="1:7" ht="12.75">
      <c r="A1276" s="36" t="s">
        <v>866</v>
      </c>
      <c r="B1276" s="15" t="s">
        <v>859</v>
      </c>
      <c r="C1276" s="2">
        <v>1</v>
      </c>
      <c r="E1276" s="4">
        <f>3</f>
        <v>3</v>
      </c>
      <c r="G1276" s="18">
        <f t="shared" si="62"/>
        <v>3</v>
      </c>
    </row>
    <row r="1277" spans="1:7" ht="12.75">
      <c r="A1277" s="36" t="s">
        <v>220</v>
      </c>
      <c r="B1277" s="15" t="s">
        <v>2001</v>
      </c>
      <c r="C1277" s="2">
        <v>1</v>
      </c>
      <c r="E1277" s="4">
        <v>3</v>
      </c>
      <c r="G1277" s="18">
        <f t="shared" si="62"/>
        <v>3</v>
      </c>
    </row>
    <row r="1278" spans="1:7" ht="12.75">
      <c r="A1278" s="36" t="s">
        <v>218</v>
      </c>
      <c r="B1278" s="15" t="s">
        <v>140</v>
      </c>
      <c r="C1278" s="2">
        <v>1</v>
      </c>
      <c r="E1278" s="4">
        <v>3</v>
      </c>
      <c r="G1278" s="18">
        <f t="shared" si="62"/>
        <v>3</v>
      </c>
    </row>
    <row r="1279" spans="1:7" ht="12.75">
      <c r="A1279" s="36" t="s">
        <v>454</v>
      </c>
      <c r="B1279" s="15" t="s">
        <v>448</v>
      </c>
      <c r="C1279" s="2">
        <v>1</v>
      </c>
      <c r="E1279" s="4">
        <f>3</f>
        <v>3</v>
      </c>
      <c r="G1279" s="18">
        <f t="shared" si="62"/>
        <v>3</v>
      </c>
    </row>
    <row r="1280" spans="1:7" ht="12.75">
      <c r="A1280" s="36" t="s">
        <v>1887</v>
      </c>
      <c r="B1280" s="15" t="s">
        <v>1883</v>
      </c>
      <c r="C1280" s="2">
        <v>1</v>
      </c>
      <c r="E1280" s="2">
        <v>3</v>
      </c>
      <c r="G1280" s="18">
        <f t="shared" si="62"/>
        <v>3</v>
      </c>
    </row>
    <row r="1281" spans="1:7" ht="12.75">
      <c r="A1281" s="36" t="s">
        <v>1886</v>
      </c>
      <c r="B1281" s="15" t="s">
        <v>1883</v>
      </c>
      <c r="C1281" s="2">
        <v>1</v>
      </c>
      <c r="E1281" s="2">
        <v>3</v>
      </c>
      <c r="G1281" s="18">
        <f t="shared" si="62"/>
        <v>3</v>
      </c>
    </row>
    <row r="1282" spans="1:7" ht="12.75">
      <c r="A1282" s="36" t="s">
        <v>111</v>
      </c>
      <c r="B1282" s="15" t="s">
        <v>98</v>
      </c>
      <c r="C1282" s="2">
        <v>1</v>
      </c>
      <c r="E1282" s="4">
        <f>3</f>
        <v>3</v>
      </c>
      <c r="G1282" s="18">
        <f t="shared" si="62"/>
        <v>3</v>
      </c>
    </row>
    <row r="1283" spans="1:7" ht="12.75">
      <c r="A1283" s="36" t="s">
        <v>1473</v>
      </c>
      <c r="B1283" s="15" t="s">
        <v>1064</v>
      </c>
      <c r="C1283" s="2">
        <v>1</v>
      </c>
      <c r="E1283" s="2">
        <v>3</v>
      </c>
      <c r="G1283" s="18">
        <f t="shared" si="62"/>
        <v>3</v>
      </c>
    </row>
    <row r="1284" spans="1:7" ht="12.75">
      <c r="A1284" s="36" t="s">
        <v>229</v>
      </c>
      <c r="B1284" s="15" t="s">
        <v>24</v>
      </c>
      <c r="C1284" s="2">
        <v>1</v>
      </c>
      <c r="E1284" s="4">
        <v>3</v>
      </c>
      <c r="G1284" s="18">
        <f t="shared" si="62"/>
        <v>3</v>
      </c>
    </row>
    <row r="1285" spans="1:7" ht="12.75">
      <c r="A1285" s="36" t="s">
        <v>1509</v>
      </c>
      <c r="B1285" s="15" t="s">
        <v>1032</v>
      </c>
      <c r="C1285" s="2">
        <v>2</v>
      </c>
      <c r="E1285" s="2">
        <f>2+1</f>
        <v>3</v>
      </c>
      <c r="G1285" s="18">
        <f t="shared" si="62"/>
        <v>1.5</v>
      </c>
    </row>
    <row r="1286" spans="1:7" ht="12.75">
      <c r="A1286" s="36" t="s">
        <v>584</v>
      </c>
      <c r="B1286" s="15" t="s">
        <v>553</v>
      </c>
      <c r="C1286" s="2">
        <v>2</v>
      </c>
      <c r="E1286" s="4">
        <f>1+2</f>
        <v>3</v>
      </c>
      <c r="G1286" s="18">
        <f t="shared" si="62"/>
        <v>1.5</v>
      </c>
    </row>
    <row r="1287" spans="1:7" ht="12.75">
      <c r="A1287" s="36" t="s">
        <v>1479</v>
      </c>
      <c r="B1287" s="15" t="s">
        <v>1810</v>
      </c>
      <c r="C1287" s="2">
        <v>2</v>
      </c>
      <c r="E1287" s="2">
        <f>2+1</f>
        <v>3</v>
      </c>
      <c r="G1287" s="18">
        <f t="shared" si="62"/>
        <v>1.5</v>
      </c>
    </row>
    <row r="1288" spans="1:7" ht="12.75">
      <c r="A1288" s="36" t="s">
        <v>612</v>
      </c>
      <c r="B1288" s="15" t="s">
        <v>83</v>
      </c>
      <c r="C1288" s="2">
        <v>2</v>
      </c>
      <c r="E1288" s="4">
        <f>1+2</f>
        <v>3</v>
      </c>
      <c r="G1288" s="18">
        <f t="shared" si="62"/>
        <v>1.5</v>
      </c>
    </row>
    <row r="1289" spans="1:7" ht="12.75">
      <c r="A1289" s="36" t="s">
        <v>833</v>
      </c>
      <c r="B1289" s="15" t="s">
        <v>832</v>
      </c>
      <c r="C1289" s="2">
        <v>2</v>
      </c>
      <c r="E1289" s="4">
        <f>1+2</f>
        <v>3</v>
      </c>
      <c r="G1289" s="18">
        <f t="shared" si="62"/>
        <v>1.5</v>
      </c>
    </row>
    <row r="1290" spans="1:7" ht="12.75">
      <c r="A1290" s="36" t="s">
        <v>362</v>
      </c>
      <c r="B1290" s="15" t="s">
        <v>1873</v>
      </c>
      <c r="C1290" s="2">
        <v>2</v>
      </c>
      <c r="E1290" s="4">
        <f>2+1</f>
        <v>3</v>
      </c>
      <c r="G1290" s="18">
        <f t="shared" si="62"/>
        <v>1.5</v>
      </c>
    </row>
    <row r="1291" spans="1:7" ht="12.75">
      <c r="A1291" s="36" t="s">
        <v>1523</v>
      </c>
      <c r="B1291" s="15" t="s">
        <v>432</v>
      </c>
      <c r="C1291" s="2">
        <v>2</v>
      </c>
      <c r="E1291" s="2">
        <f>1+2</f>
        <v>3</v>
      </c>
      <c r="G1291" s="18">
        <f t="shared" si="62"/>
        <v>1.5</v>
      </c>
    </row>
    <row r="1292" spans="1:7" ht="12.75">
      <c r="A1292" s="36" t="s">
        <v>1756</v>
      </c>
      <c r="B1292" s="15" t="s">
        <v>380</v>
      </c>
      <c r="C1292" s="2">
        <v>2</v>
      </c>
      <c r="E1292" s="2">
        <f>2+1</f>
        <v>3</v>
      </c>
      <c r="G1292" s="18">
        <f t="shared" si="62"/>
        <v>1.5</v>
      </c>
    </row>
    <row r="1293" spans="1:7" ht="12.75">
      <c r="A1293" s="36" t="s">
        <v>1525</v>
      </c>
      <c r="B1293" s="15" t="s">
        <v>158</v>
      </c>
      <c r="C1293" s="2">
        <v>2</v>
      </c>
      <c r="E1293" s="2">
        <f>1+2</f>
        <v>3</v>
      </c>
      <c r="G1293" s="18">
        <f t="shared" si="62"/>
        <v>1.5</v>
      </c>
    </row>
    <row r="1294" spans="1:7" ht="12.75">
      <c r="A1294" s="36" t="s">
        <v>1781</v>
      </c>
      <c r="B1294" s="15" t="s">
        <v>1549</v>
      </c>
      <c r="C1294" s="2">
        <v>2</v>
      </c>
      <c r="E1294" s="2">
        <f>2+1</f>
        <v>3</v>
      </c>
      <c r="G1294" s="18">
        <f t="shared" si="62"/>
        <v>1.5</v>
      </c>
    </row>
    <row r="1295" spans="1:7" ht="12.75">
      <c r="A1295" s="36" t="s">
        <v>1798</v>
      </c>
      <c r="B1295" s="15" t="s">
        <v>2027</v>
      </c>
      <c r="C1295" s="2">
        <v>2</v>
      </c>
      <c r="E1295" s="2">
        <f>2+1</f>
        <v>3</v>
      </c>
      <c r="G1295" s="18">
        <f t="shared" si="62"/>
        <v>1.5</v>
      </c>
    </row>
    <row r="1296" spans="1:7" ht="12.75">
      <c r="A1296" s="36" t="s">
        <v>1491</v>
      </c>
      <c r="B1296" s="15" t="s">
        <v>428</v>
      </c>
      <c r="C1296" s="2">
        <v>2</v>
      </c>
      <c r="E1296" s="2">
        <f>2+1</f>
        <v>3</v>
      </c>
      <c r="G1296" s="18">
        <f t="shared" si="62"/>
        <v>1.5</v>
      </c>
    </row>
    <row r="1297" spans="1:7" ht="12.75">
      <c r="A1297" s="36" t="s">
        <v>1808</v>
      </c>
      <c r="B1297" s="15" t="s">
        <v>820</v>
      </c>
      <c r="C1297" s="2">
        <v>2</v>
      </c>
      <c r="E1297" s="2">
        <f>1+2</f>
        <v>3</v>
      </c>
      <c r="G1297" s="18">
        <f t="shared" si="62"/>
        <v>1.5</v>
      </c>
    </row>
    <row r="1298" spans="1:7" ht="12.75">
      <c r="A1298" s="36" t="s">
        <v>1635</v>
      </c>
      <c r="B1298" s="15" t="s">
        <v>212</v>
      </c>
      <c r="C1298" s="2">
        <v>2</v>
      </c>
      <c r="E1298" s="4">
        <f>1+2</f>
        <v>3</v>
      </c>
      <c r="G1298" s="18">
        <f t="shared" si="62"/>
        <v>1.5</v>
      </c>
    </row>
    <row r="1299" spans="1:7" ht="12.75">
      <c r="A1299" s="36" t="s">
        <v>1905</v>
      </c>
      <c r="B1299" s="15" t="s">
        <v>1997</v>
      </c>
      <c r="C1299" s="2">
        <v>2</v>
      </c>
      <c r="E1299" s="2">
        <f>2+1</f>
        <v>3</v>
      </c>
      <c r="G1299" s="18">
        <f t="shared" si="62"/>
        <v>1.5</v>
      </c>
    </row>
    <row r="1300" spans="1:7" ht="12.75">
      <c r="A1300" s="36" t="s">
        <v>1502</v>
      </c>
      <c r="B1300" s="15" t="s">
        <v>207</v>
      </c>
      <c r="C1300" s="2">
        <v>2</v>
      </c>
      <c r="E1300" s="2">
        <f>2+1</f>
        <v>3</v>
      </c>
      <c r="G1300" s="18">
        <f t="shared" si="62"/>
        <v>1.5</v>
      </c>
    </row>
    <row r="1301" spans="1:7" ht="12.75">
      <c r="A1301" s="36" t="s">
        <v>1514</v>
      </c>
      <c r="B1301" s="15" t="s">
        <v>339</v>
      </c>
      <c r="C1301" s="2">
        <v>3</v>
      </c>
      <c r="E1301" s="2">
        <f>1+1+1</f>
        <v>3</v>
      </c>
      <c r="G1301" s="18">
        <f t="shared" si="62"/>
        <v>1</v>
      </c>
    </row>
    <row r="1302" spans="1:7" ht="12.75">
      <c r="A1302" s="36" t="s">
        <v>1614</v>
      </c>
      <c r="B1302" s="15" t="s">
        <v>1374</v>
      </c>
      <c r="C1302" s="2">
        <v>1</v>
      </c>
      <c r="E1302" s="4">
        <v>2</v>
      </c>
      <c r="G1302" s="18">
        <f t="shared" si="62"/>
        <v>2</v>
      </c>
    </row>
    <row r="1303" spans="1:7" ht="12.75">
      <c r="A1303" s="36" t="s">
        <v>1615</v>
      </c>
      <c r="B1303" s="15" t="s">
        <v>1372</v>
      </c>
      <c r="C1303" s="2">
        <v>1</v>
      </c>
      <c r="E1303" s="4">
        <v>2</v>
      </c>
      <c r="G1303" s="18">
        <f t="shared" si="62"/>
        <v>2</v>
      </c>
    </row>
    <row r="1304" spans="1:7" ht="12.75">
      <c r="A1304" s="36" t="s">
        <v>1706</v>
      </c>
      <c r="B1304" s="15" t="s">
        <v>1704</v>
      </c>
      <c r="C1304" s="2">
        <v>1</v>
      </c>
      <c r="E1304" s="2">
        <v>2</v>
      </c>
      <c r="G1304" s="18">
        <f t="shared" si="62"/>
        <v>2</v>
      </c>
    </row>
    <row r="1305" spans="1:7" ht="12.75">
      <c r="A1305" s="36" t="s">
        <v>152</v>
      </c>
      <c r="B1305" s="15" t="s">
        <v>1958</v>
      </c>
      <c r="C1305" s="2">
        <v>1</v>
      </c>
      <c r="E1305" s="4">
        <v>2</v>
      </c>
      <c r="G1305" s="18">
        <f t="shared" si="62"/>
        <v>2</v>
      </c>
    </row>
    <row r="1306" spans="1:7" ht="12.75">
      <c r="A1306" s="36" t="s">
        <v>1477</v>
      </c>
      <c r="B1306" s="15" t="s">
        <v>1037</v>
      </c>
      <c r="C1306" s="2">
        <v>1</v>
      </c>
      <c r="E1306" s="2">
        <v>2</v>
      </c>
      <c r="G1306" s="18">
        <f t="shared" si="62"/>
        <v>2</v>
      </c>
    </row>
    <row r="1307" spans="1:7" ht="12.75">
      <c r="A1307" s="36" t="s">
        <v>1716</v>
      </c>
      <c r="B1307" s="15" t="s">
        <v>1711</v>
      </c>
      <c r="C1307" s="2">
        <v>1</v>
      </c>
      <c r="E1307" s="2">
        <v>2</v>
      </c>
      <c r="G1307" s="18">
        <f t="shared" si="62"/>
        <v>2</v>
      </c>
    </row>
    <row r="1308" spans="1:7" ht="12.75">
      <c r="A1308" s="36" t="s">
        <v>337</v>
      </c>
      <c r="B1308" s="15" t="s">
        <v>336</v>
      </c>
      <c r="C1308" s="2">
        <v>1</v>
      </c>
      <c r="E1308" s="4">
        <v>2</v>
      </c>
      <c r="G1308" s="18">
        <f t="shared" si="62"/>
        <v>2</v>
      </c>
    </row>
    <row r="1309" spans="1:7" ht="12.75">
      <c r="A1309" s="36" t="s">
        <v>335</v>
      </c>
      <c r="B1309" s="15" t="s">
        <v>336</v>
      </c>
      <c r="C1309" s="2">
        <v>1</v>
      </c>
      <c r="E1309" s="4">
        <v>2</v>
      </c>
      <c r="G1309" s="18">
        <f t="shared" si="62"/>
        <v>2</v>
      </c>
    </row>
    <row r="1310" spans="1:7" ht="12.75">
      <c r="A1310" s="36" t="s">
        <v>1738</v>
      </c>
      <c r="B1310" s="15" t="s">
        <v>1732</v>
      </c>
      <c r="C1310" s="2">
        <v>1</v>
      </c>
      <c r="E1310" s="2">
        <v>2</v>
      </c>
      <c r="G1310" s="18">
        <f t="shared" si="62"/>
        <v>2</v>
      </c>
    </row>
    <row r="1311" spans="1:7" ht="12.75">
      <c r="A1311" s="36" t="s">
        <v>576</v>
      </c>
      <c r="B1311" s="15" t="s">
        <v>566</v>
      </c>
      <c r="C1311" s="2">
        <v>1</v>
      </c>
      <c r="E1311" s="4">
        <f>2</f>
        <v>2</v>
      </c>
      <c r="G1311" s="18">
        <f t="shared" si="62"/>
        <v>2</v>
      </c>
    </row>
    <row r="1312" spans="1:7" ht="12.75">
      <c r="A1312" s="36" t="s">
        <v>1750</v>
      </c>
      <c r="B1312" s="15" t="s">
        <v>1743</v>
      </c>
      <c r="C1312" s="2">
        <v>1</v>
      </c>
      <c r="E1312" s="2">
        <v>2</v>
      </c>
      <c r="G1312" s="18">
        <f t="shared" si="62"/>
        <v>2</v>
      </c>
    </row>
    <row r="1313" spans="1:7" ht="12.75">
      <c r="A1313" s="36" t="s">
        <v>360</v>
      </c>
      <c r="B1313" s="15" t="s">
        <v>354</v>
      </c>
      <c r="C1313" s="2">
        <v>1</v>
      </c>
      <c r="E1313" s="4">
        <v>2</v>
      </c>
      <c r="G1313" s="18">
        <f t="shared" si="62"/>
        <v>2</v>
      </c>
    </row>
    <row r="1314" spans="1:7" ht="12.75">
      <c r="A1314" s="36" t="s">
        <v>357</v>
      </c>
      <c r="B1314" s="15" t="s">
        <v>354</v>
      </c>
      <c r="C1314" s="2">
        <v>1</v>
      </c>
      <c r="E1314" s="4">
        <v>2</v>
      </c>
      <c r="G1314" s="18">
        <f t="shared" si="62"/>
        <v>2</v>
      </c>
    </row>
    <row r="1315" spans="1:7" ht="12.75">
      <c r="A1315" s="36" t="s">
        <v>1584</v>
      </c>
      <c r="B1315" s="15" t="s">
        <v>1572</v>
      </c>
      <c r="C1315" s="2">
        <v>1</v>
      </c>
      <c r="E1315" s="4">
        <f>2</f>
        <v>2</v>
      </c>
      <c r="G1315" s="18">
        <f t="shared" si="62"/>
        <v>2</v>
      </c>
    </row>
    <row r="1316" spans="1:7" ht="12.75">
      <c r="A1316" s="36" t="s">
        <v>1617</v>
      </c>
      <c r="B1316" s="15" t="s">
        <v>1191</v>
      </c>
      <c r="C1316" s="2">
        <v>1</v>
      </c>
      <c r="E1316" s="4">
        <v>2</v>
      </c>
      <c r="G1316" s="18">
        <f t="shared" si="62"/>
        <v>2</v>
      </c>
    </row>
    <row r="1317" spans="1:7" ht="12.75">
      <c r="A1317" s="36" t="s">
        <v>734</v>
      </c>
      <c r="B1317" s="15" t="s">
        <v>727</v>
      </c>
      <c r="C1317" s="2">
        <v>1</v>
      </c>
      <c r="E1317" s="4">
        <f>2</f>
        <v>2</v>
      </c>
      <c r="G1317" s="18">
        <f t="shared" si="62"/>
        <v>2</v>
      </c>
    </row>
    <row r="1318" spans="1:7" ht="12.75">
      <c r="A1318" s="36" t="s">
        <v>180</v>
      </c>
      <c r="B1318" s="15" t="s">
        <v>2022</v>
      </c>
      <c r="C1318" s="2">
        <v>1</v>
      </c>
      <c r="E1318" s="4">
        <v>2</v>
      </c>
      <c r="G1318" s="18">
        <f t="shared" si="62"/>
        <v>2</v>
      </c>
    </row>
    <row r="1319" spans="1:7" ht="12.75">
      <c r="A1319" s="36" t="s">
        <v>1487</v>
      </c>
      <c r="B1319" s="15" t="s">
        <v>1017</v>
      </c>
      <c r="C1319" s="2">
        <v>1</v>
      </c>
      <c r="E1319" s="2">
        <v>2</v>
      </c>
      <c r="G1319" s="18">
        <f t="shared" si="62"/>
        <v>2</v>
      </c>
    </row>
    <row r="1320" spans="1:7" ht="12.75">
      <c r="A1320" s="36" t="s">
        <v>907</v>
      </c>
      <c r="B1320" s="15" t="s">
        <v>892</v>
      </c>
      <c r="C1320" s="2">
        <v>1</v>
      </c>
      <c r="E1320" s="4">
        <f>2</f>
        <v>2</v>
      </c>
      <c r="G1320" s="18">
        <f t="shared" si="62"/>
        <v>2</v>
      </c>
    </row>
    <row r="1321" spans="1:7" ht="12.75">
      <c r="A1321" s="36" t="s">
        <v>909</v>
      </c>
      <c r="B1321" s="15" t="s">
        <v>892</v>
      </c>
      <c r="C1321" s="2">
        <v>1</v>
      </c>
      <c r="E1321" s="4">
        <f>2</f>
        <v>2</v>
      </c>
      <c r="G1321" s="18">
        <f t="shared" si="62"/>
        <v>2</v>
      </c>
    </row>
    <row r="1322" spans="1:7" ht="12.75">
      <c r="A1322" s="36" t="s">
        <v>780</v>
      </c>
      <c r="B1322" s="15" t="s">
        <v>774</v>
      </c>
      <c r="C1322" s="2">
        <v>1</v>
      </c>
      <c r="E1322" s="4">
        <f>2</f>
        <v>2</v>
      </c>
      <c r="G1322" s="18">
        <f t="shared" si="62"/>
        <v>2</v>
      </c>
    </row>
    <row r="1323" spans="1:7" ht="12.75">
      <c r="A1323" s="36" t="s">
        <v>783</v>
      </c>
      <c r="B1323" s="15" t="s">
        <v>774</v>
      </c>
      <c r="C1323" s="2">
        <v>1</v>
      </c>
      <c r="E1323" s="4">
        <f>2</f>
        <v>2</v>
      </c>
      <c r="G1323" s="18">
        <f t="shared" si="62"/>
        <v>2</v>
      </c>
    </row>
    <row r="1324" spans="1:7" ht="12.75">
      <c r="A1324" s="36" t="s">
        <v>784</v>
      </c>
      <c r="B1324" s="15" t="s">
        <v>774</v>
      </c>
      <c r="C1324" s="2">
        <v>1</v>
      </c>
      <c r="E1324" s="4">
        <f>2</f>
        <v>2</v>
      </c>
      <c r="G1324" s="18">
        <f aca="true" t="shared" si="63" ref="G1324:G1387">IF(C1324=0,0,E1324/C1324)</f>
        <v>2</v>
      </c>
    </row>
    <row r="1325" spans="1:7" ht="12.75">
      <c r="A1325" s="36" t="s">
        <v>1490</v>
      </c>
      <c r="B1325" s="15" t="s">
        <v>1019</v>
      </c>
      <c r="C1325" s="2">
        <v>1</v>
      </c>
      <c r="E1325" s="2">
        <v>2</v>
      </c>
      <c r="G1325" s="18">
        <f t="shared" si="63"/>
        <v>2</v>
      </c>
    </row>
    <row r="1326" spans="1:7" ht="12.75">
      <c r="A1326" s="36" t="s">
        <v>1492</v>
      </c>
      <c r="B1326" s="15" t="s">
        <v>1019</v>
      </c>
      <c r="C1326" s="2">
        <v>1</v>
      </c>
      <c r="E1326" s="2">
        <v>2</v>
      </c>
      <c r="G1326" s="18">
        <f t="shared" si="63"/>
        <v>2</v>
      </c>
    </row>
    <row r="1327" spans="1:7" ht="12.75">
      <c r="A1327" s="36" t="s">
        <v>1809</v>
      </c>
      <c r="B1327" s="15" t="s">
        <v>1803</v>
      </c>
      <c r="C1327" s="2">
        <v>1</v>
      </c>
      <c r="E1327" s="2">
        <v>2</v>
      </c>
      <c r="G1327" s="18">
        <f t="shared" si="63"/>
        <v>2</v>
      </c>
    </row>
    <row r="1328" spans="1:7" ht="12.75">
      <c r="A1328" s="36" t="s">
        <v>1818</v>
      </c>
      <c r="B1328" s="15" t="s">
        <v>1814</v>
      </c>
      <c r="C1328" s="2">
        <v>1</v>
      </c>
      <c r="E1328" s="2">
        <v>2</v>
      </c>
      <c r="G1328" s="18">
        <f t="shared" si="63"/>
        <v>2</v>
      </c>
    </row>
    <row r="1329" spans="1:7" ht="12.75">
      <c r="A1329" s="36" t="s">
        <v>1494</v>
      </c>
      <c r="B1329" s="15" t="s">
        <v>1070</v>
      </c>
      <c r="C1329" s="2">
        <v>1</v>
      </c>
      <c r="E1329" s="2">
        <v>2</v>
      </c>
      <c r="G1329" s="18">
        <f t="shared" si="63"/>
        <v>2</v>
      </c>
    </row>
    <row r="1330" spans="1:7" ht="12.75">
      <c r="A1330" s="36" t="s">
        <v>1836</v>
      </c>
      <c r="B1330" s="15" t="s">
        <v>1833</v>
      </c>
      <c r="C1330" s="2">
        <v>1</v>
      </c>
      <c r="E1330" s="2">
        <v>2</v>
      </c>
      <c r="G1330" s="18">
        <f t="shared" si="63"/>
        <v>2</v>
      </c>
    </row>
    <row r="1331" spans="1:7" ht="12.75">
      <c r="A1331" s="36" t="s">
        <v>1564</v>
      </c>
      <c r="B1331" s="15" t="s">
        <v>1552</v>
      </c>
      <c r="C1331" s="2">
        <v>1</v>
      </c>
      <c r="E1331" s="4">
        <f>2</f>
        <v>2</v>
      </c>
      <c r="G1331" s="18">
        <f t="shared" si="63"/>
        <v>2</v>
      </c>
    </row>
    <row r="1332" spans="1:7" ht="12.75">
      <c r="A1332" s="36" t="s">
        <v>203</v>
      </c>
      <c r="B1332" s="15" t="s">
        <v>1988</v>
      </c>
      <c r="C1332" s="2">
        <v>1</v>
      </c>
      <c r="E1332" s="4">
        <v>2</v>
      </c>
      <c r="G1332" s="18">
        <f t="shared" si="63"/>
        <v>2</v>
      </c>
    </row>
    <row r="1333" spans="1:7" ht="12.75">
      <c r="A1333" s="36" t="s">
        <v>201</v>
      </c>
      <c r="B1333" s="15" t="s">
        <v>1988</v>
      </c>
      <c r="C1333" s="2">
        <v>1</v>
      </c>
      <c r="E1333" s="4">
        <v>2</v>
      </c>
      <c r="G1333" s="18">
        <f t="shared" si="63"/>
        <v>2</v>
      </c>
    </row>
    <row r="1334" spans="1:7" ht="12.75">
      <c r="A1334" s="36" t="s">
        <v>843</v>
      </c>
      <c r="B1334" s="15" t="s">
        <v>840</v>
      </c>
      <c r="C1334" s="2">
        <v>1</v>
      </c>
      <c r="E1334" s="4">
        <f>2</f>
        <v>2</v>
      </c>
      <c r="G1334" s="18">
        <f t="shared" si="63"/>
        <v>2</v>
      </c>
    </row>
    <row r="1335" spans="1:7" ht="12.75">
      <c r="A1335" s="36" t="s">
        <v>925</v>
      </c>
      <c r="B1335" s="15" t="s">
        <v>917</v>
      </c>
      <c r="C1335" s="2">
        <v>1</v>
      </c>
      <c r="E1335" s="4">
        <f>2</f>
        <v>2</v>
      </c>
      <c r="G1335" s="18">
        <f t="shared" si="63"/>
        <v>2</v>
      </c>
    </row>
    <row r="1336" spans="1:7" ht="12.75">
      <c r="A1336" s="36" t="s">
        <v>1878</v>
      </c>
      <c r="B1336" s="15" t="s">
        <v>1854</v>
      </c>
      <c r="C1336" s="2">
        <v>1</v>
      </c>
      <c r="E1336" s="2">
        <v>2</v>
      </c>
      <c r="G1336" s="18">
        <f t="shared" si="63"/>
        <v>2</v>
      </c>
    </row>
    <row r="1337" spans="1:7" ht="12.75">
      <c r="A1337" s="36" t="s">
        <v>888</v>
      </c>
      <c r="B1337" s="15" t="s">
        <v>878</v>
      </c>
      <c r="C1337" s="2">
        <v>1</v>
      </c>
      <c r="E1337" s="4">
        <f>2</f>
        <v>2</v>
      </c>
      <c r="G1337" s="18">
        <f t="shared" si="63"/>
        <v>2</v>
      </c>
    </row>
    <row r="1338" spans="1:7" ht="12.75">
      <c r="A1338" s="36" t="s">
        <v>1918</v>
      </c>
      <c r="B1338" s="15" t="s">
        <v>1909</v>
      </c>
      <c r="C1338" s="2">
        <v>1</v>
      </c>
      <c r="E1338" s="2">
        <v>2</v>
      </c>
      <c r="G1338" s="18">
        <f t="shared" si="63"/>
        <v>2</v>
      </c>
    </row>
    <row r="1339" spans="1:7" ht="12.75">
      <c r="A1339" s="36" t="s">
        <v>271</v>
      </c>
      <c r="B1339" s="15" t="s">
        <v>259</v>
      </c>
      <c r="C1339" s="2">
        <v>1</v>
      </c>
      <c r="E1339" s="4">
        <f>2</f>
        <v>2</v>
      </c>
      <c r="G1339" s="18">
        <f t="shared" si="63"/>
        <v>2</v>
      </c>
    </row>
    <row r="1340" spans="1:7" ht="12.75">
      <c r="A1340" s="36" t="s">
        <v>1505</v>
      </c>
      <c r="B1340" s="15" t="s">
        <v>1064</v>
      </c>
      <c r="C1340" s="2">
        <v>1</v>
      </c>
      <c r="E1340" s="2">
        <v>2</v>
      </c>
      <c r="G1340" s="18">
        <f t="shared" si="63"/>
        <v>2</v>
      </c>
    </row>
    <row r="1341" spans="1:7" ht="12.75">
      <c r="A1341" s="36" t="s">
        <v>1937</v>
      </c>
      <c r="B1341" s="15" t="s">
        <v>1934</v>
      </c>
      <c r="C1341" s="2">
        <v>1</v>
      </c>
      <c r="E1341" s="2">
        <v>2</v>
      </c>
      <c r="G1341" s="18">
        <f t="shared" si="63"/>
        <v>2</v>
      </c>
    </row>
    <row r="1342" spans="1:7" ht="12.75">
      <c r="A1342" s="36" t="s">
        <v>521</v>
      </c>
      <c r="B1342" s="15" t="s">
        <v>513</v>
      </c>
      <c r="C1342" s="2">
        <v>1</v>
      </c>
      <c r="E1342" s="4">
        <v>2</v>
      </c>
      <c r="G1342" s="18">
        <f t="shared" si="63"/>
        <v>2</v>
      </c>
    </row>
    <row r="1343" spans="1:7" ht="12.75">
      <c r="A1343" s="36" t="s">
        <v>520</v>
      </c>
      <c r="B1343" s="15" t="s">
        <v>513</v>
      </c>
      <c r="C1343" s="2">
        <v>1</v>
      </c>
      <c r="E1343" s="4">
        <v>2</v>
      </c>
      <c r="G1343" s="18">
        <f t="shared" si="63"/>
        <v>2</v>
      </c>
    </row>
    <row r="1344" spans="1:7" ht="12.75">
      <c r="A1344" s="36" t="s">
        <v>1942</v>
      </c>
      <c r="B1344" s="15" t="s">
        <v>1939</v>
      </c>
      <c r="C1344" s="2">
        <v>1</v>
      </c>
      <c r="E1344" s="2">
        <v>2</v>
      </c>
      <c r="G1344" s="18">
        <f t="shared" si="63"/>
        <v>2</v>
      </c>
    </row>
    <row r="1345" spans="1:7" ht="12.75">
      <c r="A1345" s="36" t="s">
        <v>1708</v>
      </c>
      <c r="B1345" s="15" t="s">
        <v>647</v>
      </c>
      <c r="C1345" s="2">
        <v>2</v>
      </c>
      <c r="E1345" s="2">
        <f aca="true" t="shared" si="64" ref="E1345:E1368">1+1</f>
        <v>2</v>
      </c>
      <c r="G1345" s="18">
        <f t="shared" si="63"/>
        <v>1</v>
      </c>
    </row>
    <row r="1346" spans="1:7" ht="12.75">
      <c r="A1346" s="36" t="s">
        <v>1511</v>
      </c>
      <c r="B1346" s="15" t="s">
        <v>1709</v>
      </c>
      <c r="C1346" s="2">
        <v>2</v>
      </c>
      <c r="E1346" s="2">
        <f t="shared" si="64"/>
        <v>2</v>
      </c>
      <c r="G1346" s="18">
        <f t="shared" si="63"/>
        <v>1</v>
      </c>
    </row>
    <row r="1347" spans="1:7" ht="12.75">
      <c r="A1347" s="36" t="s">
        <v>597</v>
      </c>
      <c r="B1347" s="15" t="s">
        <v>752</v>
      </c>
      <c r="C1347" s="2">
        <v>2</v>
      </c>
      <c r="E1347" s="4">
        <f t="shared" si="64"/>
        <v>2</v>
      </c>
      <c r="G1347" s="18">
        <f t="shared" si="63"/>
        <v>1</v>
      </c>
    </row>
    <row r="1348" spans="1:7" ht="12.75">
      <c r="A1348" s="36" t="s">
        <v>1626</v>
      </c>
      <c r="B1348" s="15" t="s">
        <v>856</v>
      </c>
      <c r="C1348" s="2">
        <v>2</v>
      </c>
      <c r="E1348" s="4">
        <f t="shared" si="64"/>
        <v>2</v>
      </c>
      <c r="G1348" s="18">
        <f t="shared" si="63"/>
        <v>1</v>
      </c>
    </row>
    <row r="1349" spans="1:7" ht="12.75">
      <c r="A1349" s="36" t="s">
        <v>1519</v>
      </c>
      <c r="B1349" s="15" t="s">
        <v>162</v>
      </c>
      <c r="C1349" s="2">
        <v>2</v>
      </c>
      <c r="E1349" s="2">
        <f t="shared" si="64"/>
        <v>2</v>
      </c>
      <c r="G1349" s="18">
        <f t="shared" si="63"/>
        <v>1</v>
      </c>
    </row>
    <row r="1350" spans="1:7" ht="12.75">
      <c r="A1350" s="36" t="s">
        <v>1516</v>
      </c>
      <c r="B1350" s="15" t="s">
        <v>196</v>
      </c>
      <c r="C1350" s="2">
        <v>2</v>
      </c>
      <c r="E1350" s="2">
        <f t="shared" si="64"/>
        <v>2</v>
      </c>
      <c r="G1350" s="18">
        <f t="shared" si="63"/>
        <v>1</v>
      </c>
    </row>
    <row r="1351" spans="1:7" ht="12.75">
      <c r="A1351" s="36" t="s">
        <v>166</v>
      </c>
      <c r="B1351" s="15" t="s">
        <v>346</v>
      </c>
      <c r="C1351" s="2">
        <v>2</v>
      </c>
      <c r="E1351" s="4">
        <f t="shared" si="64"/>
        <v>2</v>
      </c>
      <c r="G1351" s="18">
        <f t="shared" si="63"/>
        <v>1</v>
      </c>
    </row>
    <row r="1352" spans="1:7" ht="12.75">
      <c r="A1352" s="36" t="s">
        <v>347</v>
      </c>
      <c r="B1352" s="15" t="s">
        <v>563</v>
      </c>
      <c r="C1352" s="2">
        <v>2</v>
      </c>
      <c r="E1352" s="4">
        <f t="shared" si="64"/>
        <v>2</v>
      </c>
      <c r="G1352" s="18">
        <f t="shared" si="63"/>
        <v>1</v>
      </c>
    </row>
    <row r="1353" spans="1:7" ht="12.75">
      <c r="A1353" s="36" t="s">
        <v>627</v>
      </c>
      <c r="B1353" s="15" t="s">
        <v>564</v>
      </c>
      <c r="C1353" s="2">
        <v>2</v>
      </c>
      <c r="E1353" s="4">
        <f t="shared" si="64"/>
        <v>2</v>
      </c>
      <c r="G1353" s="18">
        <f t="shared" si="63"/>
        <v>1</v>
      </c>
    </row>
    <row r="1354" spans="1:7" ht="12.75">
      <c r="A1354" s="36" t="s">
        <v>1521</v>
      </c>
      <c r="B1354" s="15" t="s">
        <v>1087</v>
      </c>
      <c r="C1354" s="2">
        <v>2</v>
      </c>
      <c r="E1354" s="2">
        <f t="shared" si="64"/>
        <v>2</v>
      </c>
      <c r="G1354" s="18">
        <f t="shared" si="63"/>
        <v>1</v>
      </c>
    </row>
    <row r="1355" spans="1:7" ht="12.75">
      <c r="A1355" s="36" t="s">
        <v>1628</v>
      </c>
      <c r="B1355" s="15" t="s">
        <v>167</v>
      </c>
      <c r="C1355" s="2">
        <v>2</v>
      </c>
      <c r="E1355" s="4">
        <f t="shared" si="64"/>
        <v>2</v>
      </c>
      <c r="G1355" s="18">
        <f t="shared" si="63"/>
        <v>1</v>
      </c>
    </row>
    <row r="1356" spans="1:7" ht="12.75">
      <c r="A1356" s="36" t="s">
        <v>1522</v>
      </c>
      <c r="B1356" s="15" t="s">
        <v>1751</v>
      </c>
      <c r="C1356" s="2">
        <v>2</v>
      </c>
      <c r="E1356" s="2">
        <f t="shared" si="64"/>
        <v>2</v>
      </c>
      <c r="G1356" s="18">
        <f t="shared" si="63"/>
        <v>1</v>
      </c>
    </row>
    <row r="1357" spans="1:7" ht="12.75">
      <c r="A1357" s="36" t="s">
        <v>1524</v>
      </c>
      <c r="B1357" s="15" t="s">
        <v>1772</v>
      </c>
      <c r="C1357" s="2">
        <v>2</v>
      </c>
      <c r="E1357" s="2">
        <f t="shared" si="64"/>
        <v>2</v>
      </c>
      <c r="G1357" s="18">
        <f t="shared" si="63"/>
        <v>1</v>
      </c>
    </row>
    <row r="1358" spans="1:7" ht="12.75">
      <c r="A1358" s="36" t="s">
        <v>182</v>
      </c>
      <c r="B1358" s="15" t="s">
        <v>402</v>
      </c>
      <c r="C1358" s="2">
        <v>2</v>
      </c>
      <c r="E1358" s="4">
        <f t="shared" si="64"/>
        <v>2</v>
      </c>
      <c r="G1358" s="18">
        <f t="shared" si="63"/>
        <v>1</v>
      </c>
    </row>
    <row r="1359" spans="1:7" ht="12.75">
      <c r="A1359" s="36" t="s">
        <v>796</v>
      </c>
      <c r="B1359" s="15" t="s">
        <v>1581</v>
      </c>
      <c r="C1359" s="2">
        <v>2</v>
      </c>
      <c r="E1359" s="4">
        <f t="shared" si="64"/>
        <v>2</v>
      </c>
      <c r="G1359" s="18">
        <f t="shared" si="63"/>
        <v>1</v>
      </c>
    </row>
    <row r="1360" spans="1:7" ht="12.75">
      <c r="A1360" s="36" t="s">
        <v>799</v>
      </c>
      <c r="B1360" s="15" t="s">
        <v>1255</v>
      </c>
      <c r="C1360" s="2">
        <v>2</v>
      </c>
      <c r="E1360" s="4">
        <f t="shared" si="64"/>
        <v>2</v>
      </c>
      <c r="G1360" s="18">
        <f t="shared" si="63"/>
        <v>1</v>
      </c>
    </row>
    <row r="1361" spans="1:7" ht="12.75">
      <c r="A1361" s="36" t="s">
        <v>1623</v>
      </c>
      <c r="B1361" s="15" t="s">
        <v>1835</v>
      </c>
      <c r="C1361" s="2">
        <v>2</v>
      </c>
      <c r="E1361" s="4">
        <f t="shared" si="64"/>
        <v>2</v>
      </c>
      <c r="G1361" s="18">
        <f t="shared" si="63"/>
        <v>1</v>
      </c>
    </row>
    <row r="1362" spans="1:7" ht="12.75">
      <c r="A1362" s="36" t="s">
        <v>1590</v>
      </c>
      <c r="B1362" s="15" t="s">
        <v>1830</v>
      </c>
      <c r="C1362" s="2">
        <v>2</v>
      </c>
      <c r="E1362" s="2">
        <f t="shared" si="64"/>
        <v>2</v>
      </c>
      <c r="G1362" s="18">
        <f t="shared" si="63"/>
        <v>1</v>
      </c>
    </row>
    <row r="1363" spans="1:7" ht="12.75">
      <c r="A1363" s="36" t="s">
        <v>1838</v>
      </c>
      <c r="B1363" s="15" t="s">
        <v>129</v>
      </c>
      <c r="C1363" s="2">
        <v>2</v>
      </c>
      <c r="E1363" s="2">
        <f t="shared" si="64"/>
        <v>2</v>
      </c>
      <c r="G1363" s="18">
        <f t="shared" si="63"/>
        <v>1</v>
      </c>
    </row>
    <row r="1364" spans="1:7" ht="12.75">
      <c r="A1364" s="36" t="s">
        <v>434</v>
      </c>
      <c r="B1364" s="15" t="s">
        <v>823</v>
      </c>
      <c r="C1364" s="2">
        <v>2</v>
      </c>
      <c r="E1364" s="4">
        <f t="shared" si="64"/>
        <v>2</v>
      </c>
      <c r="G1364" s="18">
        <f t="shared" si="63"/>
        <v>1</v>
      </c>
    </row>
    <row r="1365" spans="1:7" ht="12.75">
      <c r="A1365" s="36" t="s">
        <v>847</v>
      </c>
      <c r="B1365" s="15" t="s">
        <v>919</v>
      </c>
      <c r="C1365" s="2">
        <v>2</v>
      </c>
      <c r="E1365" s="4">
        <f t="shared" si="64"/>
        <v>2</v>
      </c>
      <c r="G1365" s="18">
        <f t="shared" si="63"/>
        <v>1</v>
      </c>
    </row>
    <row r="1366" spans="1:7" ht="12.75">
      <c r="A1366" s="36" t="s">
        <v>1595</v>
      </c>
      <c r="B1366" s="15" t="s">
        <v>210</v>
      </c>
      <c r="C1366" s="2">
        <v>2</v>
      </c>
      <c r="E1366" s="2">
        <f t="shared" si="64"/>
        <v>2</v>
      </c>
      <c r="G1366" s="18">
        <f t="shared" si="63"/>
        <v>1</v>
      </c>
    </row>
    <row r="1367" spans="1:7" ht="12.75">
      <c r="A1367" s="36" t="s">
        <v>1636</v>
      </c>
      <c r="B1367" s="15" t="s">
        <v>1906</v>
      </c>
      <c r="C1367" s="2">
        <v>2</v>
      </c>
      <c r="E1367" s="4">
        <f t="shared" si="64"/>
        <v>2</v>
      </c>
      <c r="G1367" s="18">
        <f t="shared" si="63"/>
        <v>1</v>
      </c>
    </row>
    <row r="1368" spans="1:7" ht="12.75">
      <c r="A1368" s="36" t="s">
        <v>1888</v>
      </c>
      <c r="B1368" s="15" t="s">
        <v>13</v>
      </c>
      <c r="C1368" s="2">
        <v>2</v>
      </c>
      <c r="E1368" s="2">
        <f t="shared" si="64"/>
        <v>2</v>
      </c>
      <c r="G1368" s="18">
        <f t="shared" si="63"/>
        <v>1</v>
      </c>
    </row>
    <row r="1369" spans="1:7" ht="12.75">
      <c r="A1369" s="36" t="s">
        <v>1507</v>
      </c>
      <c r="B1369" s="15" t="s">
        <v>1085</v>
      </c>
      <c r="C1369" s="2">
        <v>1</v>
      </c>
      <c r="D1369" s="37"/>
      <c r="E1369" s="2">
        <v>1</v>
      </c>
      <c r="G1369" s="18">
        <f t="shared" si="63"/>
        <v>1</v>
      </c>
    </row>
    <row r="1370" spans="1:7" ht="12.75">
      <c r="A1370" s="36" t="s">
        <v>1506</v>
      </c>
      <c r="B1370" s="15" t="s">
        <v>1085</v>
      </c>
      <c r="C1370" s="2">
        <v>1</v>
      </c>
      <c r="D1370" s="37"/>
      <c r="E1370" s="2">
        <v>1</v>
      </c>
      <c r="G1370" s="18">
        <f t="shared" si="63"/>
        <v>1</v>
      </c>
    </row>
    <row r="1371" spans="1:7" ht="12.75">
      <c r="A1371" s="36" t="s">
        <v>1510</v>
      </c>
      <c r="B1371" s="15" t="s">
        <v>1185</v>
      </c>
      <c r="C1371" s="2">
        <v>1</v>
      </c>
      <c r="E1371" s="2">
        <v>1</v>
      </c>
      <c r="G1371" s="18">
        <f t="shared" si="63"/>
        <v>1</v>
      </c>
    </row>
    <row r="1372" spans="1:7" ht="12.75">
      <c r="A1372" s="36" t="s">
        <v>243</v>
      </c>
      <c r="B1372" s="15" t="s">
        <v>241</v>
      </c>
      <c r="C1372" s="2">
        <v>1</v>
      </c>
      <c r="E1372" s="4">
        <v>1</v>
      </c>
      <c r="G1372" s="18">
        <f t="shared" si="63"/>
        <v>1</v>
      </c>
    </row>
    <row r="1373" spans="1:7" ht="12.75">
      <c r="A1373" s="36" t="s">
        <v>537</v>
      </c>
      <c r="B1373" s="15" t="s">
        <v>529</v>
      </c>
      <c r="C1373" s="2">
        <v>1</v>
      </c>
      <c r="E1373" s="4">
        <f>1</f>
        <v>1</v>
      </c>
      <c r="G1373" s="18">
        <f t="shared" si="63"/>
        <v>1</v>
      </c>
    </row>
    <row r="1374" spans="1:7" ht="12.75">
      <c r="A1374" s="36" t="s">
        <v>538</v>
      </c>
      <c r="B1374" s="15" t="s">
        <v>529</v>
      </c>
      <c r="C1374" s="2">
        <v>1</v>
      </c>
      <c r="E1374" s="4">
        <f>1</f>
        <v>1</v>
      </c>
      <c r="G1374" s="18">
        <f t="shared" si="63"/>
        <v>1</v>
      </c>
    </row>
    <row r="1375" spans="1:7" ht="12.75">
      <c r="A1375" s="36" t="s">
        <v>157</v>
      </c>
      <c r="B1375" s="15" t="s">
        <v>31</v>
      </c>
      <c r="C1375" s="2">
        <v>1</v>
      </c>
      <c r="E1375" s="4">
        <v>1</v>
      </c>
      <c r="G1375" s="18">
        <f t="shared" si="63"/>
        <v>1</v>
      </c>
    </row>
    <row r="1376" spans="1:7" ht="12.75">
      <c r="A1376" s="36" t="s">
        <v>154</v>
      </c>
      <c r="B1376" s="15" t="s">
        <v>31</v>
      </c>
      <c r="C1376" s="2">
        <v>1</v>
      </c>
      <c r="E1376" s="4">
        <v>1</v>
      </c>
      <c r="G1376" s="18">
        <f t="shared" si="63"/>
        <v>1</v>
      </c>
    </row>
    <row r="1377" spans="1:7" ht="12.75">
      <c r="A1377" s="36" t="s">
        <v>583</v>
      </c>
      <c r="B1377" s="15" t="s">
        <v>542</v>
      </c>
      <c r="C1377" s="2">
        <v>1</v>
      </c>
      <c r="E1377" s="4">
        <f>1</f>
        <v>1</v>
      </c>
      <c r="G1377" s="18">
        <f t="shared" si="63"/>
        <v>1</v>
      </c>
    </row>
    <row r="1378" spans="1:7" ht="12.75">
      <c r="A1378" s="36" t="s">
        <v>585</v>
      </c>
      <c r="B1378" s="15" t="s">
        <v>542</v>
      </c>
      <c r="C1378" s="2">
        <v>1</v>
      </c>
      <c r="E1378" s="4">
        <f>1</f>
        <v>1</v>
      </c>
      <c r="G1378" s="18">
        <f t="shared" si="63"/>
        <v>1</v>
      </c>
    </row>
    <row r="1379" spans="1:7" ht="12.75">
      <c r="A1379" s="36" t="s">
        <v>561</v>
      </c>
      <c r="B1379" s="15" t="s">
        <v>545</v>
      </c>
      <c r="C1379" s="2">
        <v>1</v>
      </c>
      <c r="E1379" s="4">
        <f>1</f>
        <v>1</v>
      </c>
      <c r="G1379" s="18">
        <f t="shared" si="63"/>
        <v>1</v>
      </c>
    </row>
    <row r="1380" spans="1:7" ht="12.75">
      <c r="A1380" s="36" t="s">
        <v>334</v>
      </c>
      <c r="B1380" s="15" t="s">
        <v>254</v>
      </c>
      <c r="C1380" s="2">
        <v>1</v>
      </c>
      <c r="E1380" s="4">
        <v>1</v>
      </c>
      <c r="G1380" s="18">
        <f t="shared" si="63"/>
        <v>1</v>
      </c>
    </row>
    <row r="1381" spans="1:7" ht="12.75">
      <c r="A1381" s="36" t="s">
        <v>332</v>
      </c>
      <c r="B1381" s="15" t="s">
        <v>254</v>
      </c>
      <c r="C1381" s="2">
        <v>1</v>
      </c>
      <c r="E1381" s="4">
        <v>1</v>
      </c>
      <c r="G1381" s="18">
        <f t="shared" si="63"/>
        <v>1</v>
      </c>
    </row>
    <row r="1382" spans="1:7" ht="12.75">
      <c r="A1382" s="36" t="s">
        <v>331</v>
      </c>
      <c r="B1382" s="15" t="s">
        <v>254</v>
      </c>
      <c r="C1382" s="2">
        <v>1</v>
      </c>
      <c r="E1382" s="4">
        <v>1</v>
      </c>
      <c r="G1382" s="18">
        <f t="shared" si="63"/>
        <v>1</v>
      </c>
    </row>
    <row r="1383" spans="1:7" ht="12.75">
      <c r="A1383" s="36" t="s">
        <v>599</v>
      </c>
      <c r="B1383" s="15" t="s">
        <v>592</v>
      </c>
      <c r="C1383" s="2">
        <v>1</v>
      </c>
      <c r="E1383" s="4">
        <f>1</f>
        <v>1</v>
      </c>
      <c r="G1383" s="18">
        <f t="shared" si="63"/>
        <v>1</v>
      </c>
    </row>
    <row r="1384" spans="1:7" ht="12.75">
      <c r="A1384" s="36" t="s">
        <v>601</v>
      </c>
      <c r="B1384" s="15" t="s">
        <v>592</v>
      </c>
      <c r="C1384" s="2">
        <v>1</v>
      </c>
      <c r="E1384" s="4">
        <f>1</f>
        <v>1</v>
      </c>
      <c r="G1384" s="18">
        <f t="shared" si="63"/>
        <v>1</v>
      </c>
    </row>
    <row r="1385" spans="1:7" ht="12.75">
      <c r="A1385" s="36" t="s">
        <v>1622</v>
      </c>
      <c r="B1385" s="15" t="s">
        <v>1089</v>
      </c>
      <c r="C1385" s="2">
        <v>1</v>
      </c>
      <c r="E1385" s="4">
        <v>1</v>
      </c>
      <c r="G1385" s="18">
        <f t="shared" si="63"/>
        <v>1</v>
      </c>
    </row>
    <row r="1386" spans="1:7" ht="12.75">
      <c r="A1386" s="36" t="s">
        <v>1515</v>
      </c>
      <c r="B1386" s="15" t="s">
        <v>1186</v>
      </c>
      <c r="C1386" s="2">
        <v>1</v>
      </c>
      <c r="E1386" s="2">
        <v>1</v>
      </c>
      <c r="G1386" s="18">
        <f t="shared" si="63"/>
        <v>1</v>
      </c>
    </row>
    <row r="1387" spans="1:7" ht="12.75">
      <c r="A1387" s="36" t="s">
        <v>160</v>
      </c>
      <c r="B1387" s="15" t="s">
        <v>2007</v>
      </c>
      <c r="C1387" s="2">
        <v>1</v>
      </c>
      <c r="E1387" s="4">
        <v>1</v>
      </c>
      <c r="G1387" s="18">
        <f t="shared" si="63"/>
        <v>1</v>
      </c>
    </row>
    <row r="1388" spans="1:7" ht="12.75">
      <c r="A1388" s="36" t="s">
        <v>159</v>
      </c>
      <c r="B1388" s="15" t="s">
        <v>2007</v>
      </c>
      <c r="C1388" s="2">
        <v>1</v>
      </c>
      <c r="E1388" s="4">
        <v>1</v>
      </c>
      <c r="G1388" s="18">
        <f aca="true" t="shared" si="65" ref="G1388:G1451">IF(C1388=0,0,E1388/C1388)</f>
        <v>1</v>
      </c>
    </row>
    <row r="1389" spans="1:7" ht="12.75">
      <c r="A1389" s="36" t="s">
        <v>338</v>
      </c>
      <c r="B1389" s="15" t="s">
        <v>336</v>
      </c>
      <c r="C1389" s="2">
        <v>1</v>
      </c>
      <c r="E1389" s="4">
        <v>1</v>
      </c>
      <c r="G1389" s="18">
        <f t="shared" si="65"/>
        <v>1</v>
      </c>
    </row>
    <row r="1390" spans="1:7" ht="12.75">
      <c r="A1390" s="36" t="s">
        <v>610</v>
      </c>
      <c r="B1390" s="15" t="s">
        <v>606</v>
      </c>
      <c r="C1390" s="2">
        <v>1</v>
      </c>
      <c r="E1390" s="4">
        <f>1</f>
        <v>1</v>
      </c>
      <c r="G1390" s="18">
        <f t="shared" si="65"/>
        <v>1</v>
      </c>
    </row>
    <row r="1391" spans="1:7" ht="12.75">
      <c r="A1391" s="36" t="s">
        <v>92</v>
      </c>
      <c r="B1391" s="15" t="s">
        <v>82</v>
      </c>
      <c r="C1391" s="2">
        <v>1</v>
      </c>
      <c r="E1391" s="4">
        <f>1</f>
        <v>1</v>
      </c>
      <c r="G1391" s="18">
        <f t="shared" si="65"/>
        <v>1</v>
      </c>
    </row>
    <row r="1392" spans="1:7" ht="12.75">
      <c r="A1392" s="36" t="s">
        <v>1627</v>
      </c>
      <c r="B1392" s="15" t="s">
        <v>1188</v>
      </c>
      <c r="C1392" s="2">
        <v>1</v>
      </c>
      <c r="E1392" s="4">
        <v>1</v>
      </c>
      <c r="G1392" s="18">
        <f t="shared" si="65"/>
        <v>1</v>
      </c>
    </row>
    <row r="1393" spans="1:7" ht="12.75">
      <c r="A1393" s="36" t="s">
        <v>1520</v>
      </c>
      <c r="B1393" s="15" t="s">
        <v>1077</v>
      </c>
      <c r="C1393" s="2">
        <v>1</v>
      </c>
      <c r="E1393" s="2">
        <v>1</v>
      </c>
      <c r="G1393" s="18">
        <f t="shared" si="65"/>
        <v>1</v>
      </c>
    </row>
    <row r="1394" spans="1:7" ht="12.75">
      <c r="A1394" s="36" t="s">
        <v>1518</v>
      </c>
      <c r="B1394" s="15" t="s">
        <v>1077</v>
      </c>
      <c r="C1394" s="2">
        <v>1</v>
      </c>
      <c r="E1394" s="2">
        <v>1</v>
      </c>
      <c r="G1394" s="18">
        <f t="shared" si="65"/>
        <v>1</v>
      </c>
    </row>
    <row r="1395" spans="1:7" ht="12.75">
      <c r="A1395" s="36" t="s">
        <v>1739</v>
      </c>
      <c r="B1395" s="15" t="s">
        <v>1732</v>
      </c>
      <c r="C1395" s="2">
        <v>1</v>
      </c>
      <c r="E1395" s="2">
        <v>1</v>
      </c>
      <c r="G1395" s="18">
        <f t="shared" si="65"/>
        <v>1</v>
      </c>
    </row>
    <row r="1396" spans="1:7" ht="12.75">
      <c r="A1396" s="36" t="s">
        <v>1229</v>
      </c>
      <c r="B1396" s="15" t="s">
        <v>1732</v>
      </c>
      <c r="C1396" s="2">
        <v>1</v>
      </c>
      <c r="E1396" s="2">
        <v>1</v>
      </c>
      <c r="G1396" s="18">
        <f t="shared" si="65"/>
        <v>1</v>
      </c>
    </row>
    <row r="1397" spans="1:7" ht="12.75">
      <c r="A1397" s="36" t="s">
        <v>626</v>
      </c>
      <c r="B1397" s="15" t="s">
        <v>616</v>
      </c>
      <c r="C1397" s="2">
        <v>1</v>
      </c>
      <c r="E1397" s="4">
        <f>1</f>
        <v>1</v>
      </c>
      <c r="G1397" s="18">
        <f t="shared" si="65"/>
        <v>1</v>
      </c>
    </row>
    <row r="1398" spans="1:7" ht="12.75">
      <c r="A1398" s="36" t="s">
        <v>629</v>
      </c>
      <c r="B1398" s="15" t="s">
        <v>616</v>
      </c>
      <c r="C1398" s="2">
        <v>1</v>
      </c>
      <c r="E1398" s="4">
        <f>1</f>
        <v>1</v>
      </c>
      <c r="G1398" s="18">
        <f t="shared" si="65"/>
        <v>1</v>
      </c>
    </row>
    <row r="1399" spans="1:7" ht="12.75">
      <c r="A1399" s="36" t="s">
        <v>578</v>
      </c>
      <c r="B1399" s="15" t="s">
        <v>566</v>
      </c>
      <c r="C1399" s="2">
        <v>1</v>
      </c>
      <c r="E1399" s="4">
        <f>1</f>
        <v>1</v>
      </c>
      <c r="G1399" s="18">
        <f t="shared" si="65"/>
        <v>1</v>
      </c>
    </row>
    <row r="1400" spans="1:7" ht="12.75">
      <c r="A1400" s="36" t="s">
        <v>1749</v>
      </c>
      <c r="B1400" s="15" t="s">
        <v>1743</v>
      </c>
      <c r="C1400" s="2">
        <v>1</v>
      </c>
      <c r="E1400" s="2">
        <v>1</v>
      </c>
      <c r="G1400" s="18">
        <f t="shared" si="65"/>
        <v>1</v>
      </c>
    </row>
    <row r="1401" spans="1:7" ht="12.75">
      <c r="A1401" s="36" t="s">
        <v>358</v>
      </c>
      <c r="B1401" s="15" t="s">
        <v>354</v>
      </c>
      <c r="C1401" s="2">
        <v>1</v>
      </c>
      <c r="E1401" s="4">
        <v>1</v>
      </c>
      <c r="G1401" s="18">
        <f t="shared" si="65"/>
        <v>1</v>
      </c>
    </row>
    <row r="1402" spans="1:7" ht="12.75">
      <c r="A1402" s="36" t="s">
        <v>636</v>
      </c>
      <c r="B1402" s="15" t="s">
        <v>632</v>
      </c>
      <c r="C1402" s="2">
        <v>1</v>
      </c>
      <c r="E1402" s="4">
        <f>1</f>
        <v>1</v>
      </c>
      <c r="G1402" s="18">
        <f t="shared" si="65"/>
        <v>1</v>
      </c>
    </row>
    <row r="1403" spans="1:7" ht="12.75">
      <c r="A1403" s="36" t="s">
        <v>1871</v>
      </c>
      <c r="B1403" s="15" t="s">
        <v>1865</v>
      </c>
      <c r="C1403" s="2">
        <v>1</v>
      </c>
      <c r="E1403" s="4">
        <f>1</f>
        <v>1</v>
      </c>
      <c r="G1403" s="18">
        <f t="shared" si="65"/>
        <v>1</v>
      </c>
    </row>
    <row r="1404" spans="1:7" ht="12.75">
      <c r="A1404" s="36" t="s">
        <v>660</v>
      </c>
      <c r="B1404" s="15" t="s">
        <v>656</v>
      </c>
      <c r="C1404" s="2">
        <v>1</v>
      </c>
      <c r="E1404" s="4">
        <f>1</f>
        <v>1</v>
      </c>
      <c r="G1404" s="18">
        <f t="shared" si="65"/>
        <v>1</v>
      </c>
    </row>
    <row r="1405" spans="1:7" ht="12.75">
      <c r="A1405" s="36" t="s">
        <v>661</v>
      </c>
      <c r="B1405" s="15" t="s">
        <v>656</v>
      </c>
      <c r="C1405" s="2">
        <v>1</v>
      </c>
      <c r="E1405" s="4">
        <f>1</f>
        <v>1</v>
      </c>
      <c r="G1405" s="18">
        <f t="shared" si="65"/>
        <v>1</v>
      </c>
    </row>
    <row r="1406" spans="1:7" ht="12.75">
      <c r="A1406" s="36" t="s">
        <v>1629</v>
      </c>
      <c r="B1406" s="15" t="s">
        <v>1191</v>
      </c>
      <c r="C1406" s="2">
        <v>1</v>
      </c>
      <c r="E1406" s="4">
        <v>1</v>
      </c>
      <c r="G1406" s="18">
        <f t="shared" si="65"/>
        <v>1</v>
      </c>
    </row>
    <row r="1407" spans="1:7" ht="12.75">
      <c r="A1407" s="36" t="s">
        <v>1769</v>
      </c>
      <c r="B1407" s="15" t="s">
        <v>1761</v>
      </c>
      <c r="C1407" s="2">
        <v>1</v>
      </c>
      <c r="E1407" s="2">
        <v>1</v>
      </c>
      <c r="G1407" s="18">
        <f t="shared" si="65"/>
        <v>1</v>
      </c>
    </row>
    <row r="1408" spans="1:7" ht="12.75">
      <c r="A1408" s="36" t="s">
        <v>687</v>
      </c>
      <c r="B1408" s="15" t="s">
        <v>675</v>
      </c>
      <c r="C1408" s="2">
        <v>1</v>
      </c>
      <c r="E1408" s="4">
        <f>1</f>
        <v>1</v>
      </c>
      <c r="G1408" s="18">
        <f t="shared" si="65"/>
        <v>1</v>
      </c>
    </row>
    <row r="1409" spans="1:7" ht="12.75">
      <c r="A1409" s="36" t="s">
        <v>1777</v>
      </c>
      <c r="B1409" s="15" t="s">
        <v>1771</v>
      </c>
      <c r="C1409" s="2">
        <v>1</v>
      </c>
      <c r="E1409" s="2">
        <v>1</v>
      </c>
      <c r="G1409" s="18">
        <f t="shared" si="65"/>
        <v>1</v>
      </c>
    </row>
    <row r="1410" spans="1:7" ht="12.75">
      <c r="A1410" s="36" t="s">
        <v>1776</v>
      </c>
      <c r="B1410" s="15" t="s">
        <v>1771</v>
      </c>
      <c r="C1410" s="2">
        <v>1</v>
      </c>
      <c r="E1410" s="2">
        <v>1</v>
      </c>
      <c r="G1410" s="18">
        <f t="shared" si="65"/>
        <v>1</v>
      </c>
    </row>
    <row r="1411" spans="1:7" ht="12.75">
      <c r="A1411" s="36" t="s">
        <v>733</v>
      </c>
      <c r="B1411" s="15" t="s">
        <v>727</v>
      </c>
      <c r="C1411" s="2">
        <v>1</v>
      </c>
      <c r="E1411" s="4">
        <f>1</f>
        <v>1</v>
      </c>
      <c r="G1411" s="18">
        <f t="shared" si="65"/>
        <v>1</v>
      </c>
    </row>
    <row r="1412" spans="1:7" ht="12.75">
      <c r="A1412" s="36" t="s">
        <v>1528</v>
      </c>
      <c r="B1412" s="15" t="s">
        <v>1013</v>
      </c>
      <c r="C1412" s="2">
        <v>1</v>
      </c>
      <c r="E1412" s="2">
        <v>1</v>
      </c>
      <c r="G1412" s="18">
        <f t="shared" si="65"/>
        <v>1</v>
      </c>
    </row>
    <row r="1413" spans="1:7" ht="12.75">
      <c r="A1413" s="36" t="s">
        <v>1526</v>
      </c>
      <c r="B1413" s="15" t="s">
        <v>1013</v>
      </c>
      <c r="C1413" s="2">
        <v>1</v>
      </c>
      <c r="E1413" s="2">
        <v>1</v>
      </c>
      <c r="G1413" s="18">
        <f t="shared" si="65"/>
        <v>1</v>
      </c>
    </row>
    <row r="1414" spans="1:7" ht="12.75">
      <c r="A1414" s="36" t="s">
        <v>1782</v>
      </c>
      <c r="B1414" s="15" t="s">
        <v>1779</v>
      </c>
      <c r="C1414" s="2">
        <v>1</v>
      </c>
      <c r="E1414" s="2">
        <v>1</v>
      </c>
      <c r="G1414" s="18">
        <f t="shared" si="65"/>
        <v>1</v>
      </c>
    </row>
    <row r="1415" spans="1:7" ht="12.75">
      <c r="A1415" s="36" t="s">
        <v>1531</v>
      </c>
      <c r="B1415" s="15" t="s">
        <v>1017</v>
      </c>
      <c r="C1415" s="2">
        <v>1</v>
      </c>
      <c r="E1415" s="2">
        <v>1</v>
      </c>
      <c r="G1415" s="18">
        <f t="shared" si="65"/>
        <v>1</v>
      </c>
    </row>
    <row r="1416" spans="1:7" ht="12.75">
      <c r="A1416" s="36" t="s">
        <v>1530</v>
      </c>
      <c r="B1416" s="15" t="s">
        <v>1017</v>
      </c>
      <c r="C1416" s="2">
        <v>1</v>
      </c>
      <c r="E1416" s="2">
        <v>1</v>
      </c>
      <c r="G1416" s="18">
        <f t="shared" si="65"/>
        <v>1</v>
      </c>
    </row>
    <row r="1417" spans="1:7" ht="12.75">
      <c r="A1417" s="36" t="s">
        <v>903</v>
      </c>
      <c r="B1417" s="15" t="s">
        <v>892</v>
      </c>
      <c r="C1417" s="2">
        <v>1</v>
      </c>
      <c r="E1417" s="4">
        <f>1</f>
        <v>1</v>
      </c>
      <c r="G1417" s="18">
        <f t="shared" si="65"/>
        <v>1</v>
      </c>
    </row>
    <row r="1418" spans="1:7" ht="12.75">
      <c r="A1418" s="36" t="s">
        <v>908</v>
      </c>
      <c r="B1418" s="15" t="s">
        <v>892</v>
      </c>
      <c r="C1418" s="2">
        <v>1</v>
      </c>
      <c r="E1418" s="4">
        <f>1</f>
        <v>1</v>
      </c>
      <c r="G1418" s="18">
        <f t="shared" si="65"/>
        <v>1</v>
      </c>
    </row>
    <row r="1419" spans="1:7" ht="12.75">
      <c r="A1419" s="36" t="s">
        <v>1534</v>
      </c>
      <c r="B1419" s="15" t="s">
        <v>1015</v>
      </c>
      <c r="C1419" s="2">
        <v>1</v>
      </c>
      <c r="E1419" s="2">
        <v>1</v>
      </c>
      <c r="G1419" s="18">
        <f t="shared" si="65"/>
        <v>1</v>
      </c>
    </row>
    <row r="1420" spans="1:7" ht="12.75">
      <c r="A1420" s="36" t="s">
        <v>1800</v>
      </c>
      <c r="B1420" s="15" t="s">
        <v>1793</v>
      </c>
      <c r="C1420" s="2">
        <v>1</v>
      </c>
      <c r="E1420" s="2">
        <v>1</v>
      </c>
      <c r="G1420" s="18">
        <f t="shared" si="65"/>
        <v>1</v>
      </c>
    </row>
    <row r="1421" spans="1:7" ht="12.75">
      <c r="A1421" s="36" t="s">
        <v>185</v>
      </c>
      <c r="B1421" s="15" t="s">
        <v>117</v>
      </c>
      <c r="C1421" s="2">
        <v>1</v>
      </c>
      <c r="E1421" s="4">
        <v>1</v>
      </c>
      <c r="G1421" s="18">
        <f t="shared" si="65"/>
        <v>1</v>
      </c>
    </row>
    <row r="1422" spans="1:7" ht="12.75">
      <c r="A1422" s="36" t="s">
        <v>186</v>
      </c>
      <c r="B1422" s="15" t="s">
        <v>117</v>
      </c>
      <c r="C1422" s="2">
        <v>1</v>
      </c>
      <c r="E1422" s="4">
        <v>1</v>
      </c>
      <c r="G1422" s="18">
        <f t="shared" si="65"/>
        <v>1</v>
      </c>
    </row>
    <row r="1423" spans="1:7" ht="12.75">
      <c r="A1423" s="36" t="s">
        <v>785</v>
      </c>
      <c r="B1423" s="15" t="s">
        <v>774</v>
      </c>
      <c r="C1423" s="2">
        <v>1</v>
      </c>
      <c r="E1423" s="4">
        <f>1</f>
        <v>1</v>
      </c>
      <c r="G1423" s="18">
        <f t="shared" si="65"/>
        <v>1</v>
      </c>
    </row>
    <row r="1424" spans="1:7" ht="12.75">
      <c r="A1424" s="36" t="s">
        <v>304</v>
      </c>
      <c r="B1424" s="15" t="s">
        <v>297</v>
      </c>
      <c r="C1424" s="2">
        <v>1</v>
      </c>
      <c r="E1424" s="4">
        <f>1</f>
        <v>1</v>
      </c>
      <c r="G1424" s="18">
        <f t="shared" si="65"/>
        <v>1</v>
      </c>
    </row>
    <row r="1425" spans="1:7" ht="12.75">
      <c r="A1425" s="36" t="s">
        <v>305</v>
      </c>
      <c r="B1425" s="15" t="s">
        <v>297</v>
      </c>
      <c r="C1425" s="2">
        <v>1</v>
      </c>
      <c r="E1425" s="4">
        <f>1</f>
        <v>1</v>
      </c>
      <c r="G1425" s="18">
        <f t="shared" si="65"/>
        <v>1</v>
      </c>
    </row>
    <row r="1426" spans="1:7" ht="12.75">
      <c r="A1426" s="36" t="s">
        <v>1535</v>
      </c>
      <c r="B1426" s="15" t="s">
        <v>1019</v>
      </c>
      <c r="C1426" s="2">
        <v>1</v>
      </c>
      <c r="E1426" s="2">
        <v>1</v>
      </c>
      <c r="G1426" s="18">
        <f t="shared" si="65"/>
        <v>1</v>
      </c>
    </row>
    <row r="1427" spans="1:7" ht="12.75">
      <c r="A1427" s="36" t="s">
        <v>1807</v>
      </c>
      <c r="B1427" s="15" t="s">
        <v>1803</v>
      </c>
      <c r="C1427" s="2">
        <v>1</v>
      </c>
      <c r="E1427" s="2">
        <v>1</v>
      </c>
      <c r="G1427" s="18">
        <f t="shared" si="65"/>
        <v>1</v>
      </c>
    </row>
    <row r="1428" spans="1:7" ht="12.75">
      <c r="A1428" s="36" t="s">
        <v>798</v>
      </c>
      <c r="B1428" s="15" t="s">
        <v>787</v>
      </c>
      <c r="C1428" s="2">
        <v>1</v>
      </c>
      <c r="E1428" s="4">
        <f>1</f>
        <v>1</v>
      </c>
      <c r="G1428" s="18">
        <f t="shared" si="65"/>
        <v>1</v>
      </c>
    </row>
    <row r="1429" spans="1:7" ht="12.75">
      <c r="A1429" s="36" t="s">
        <v>1258</v>
      </c>
      <c r="B1429" s="15" t="s">
        <v>1254</v>
      </c>
      <c r="C1429" s="2">
        <v>1</v>
      </c>
      <c r="E1429" s="4">
        <f>1</f>
        <v>1</v>
      </c>
      <c r="G1429" s="18">
        <f t="shared" si="65"/>
        <v>1</v>
      </c>
    </row>
    <row r="1430" spans="1:7" ht="12.75">
      <c r="A1430" s="36" t="s">
        <v>1630</v>
      </c>
      <c r="B1430" s="15" t="s">
        <v>1378</v>
      </c>
      <c r="C1430" s="2">
        <v>1</v>
      </c>
      <c r="E1430" s="4">
        <v>1</v>
      </c>
      <c r="G1430" s="18">
        <f t="shared" si="65"/>
        <v>1</v>
      </c>
    </row>
    <row r="1431" spans="1:7" ht="12.75">
      <c r="A1431" s="36" t="s">
        <v>1536</v>
      </c>
      <c r="B1431" s="15" t="s">
        <v>1021</v>
      </c>
      <c r="C1431" s="2">
        <v>1</v>
      </c>
      <c r="E1431" s="2">
        <v>1</v>
      </c>
      <c r="G1431" s="18">
        <f t="shared" si="65"/>
        <v>1</v>
      </c>
    </row>
    <row r="1432" spans="1:7" ht="12.75">
      <c r="A1432" s="36" t="s">
        <v>193</v>
      </c>
      <c r="B1432" s="15" t="s">
        <v>1977</v>
      </c>
      <c r="C1432" s="2">
        <v>1</v>
      </c>
      <c r="E1432" s="4">
        <v>1</v>
      </c>
      <c r="G1432" s="18">
        <f t="shared" si="65"/>
        <v>1</v>
      </c>
    </row>
    <row r="1433" spans="1:7" ht="12.75">
      <c r="A1433" s="36" t="s">
        <v>808</v>
      </c>
      <c r="B1433" s="15" t="s">
        <v>801</v>
      </c>
      <c r="C1433" s="2">
        <v>1</v>
      </c>
      <c r="E1433" s="4">
        <f>1</f>
        <v>1</v>
      </c>
      <c r="G1433" s="18">
        <f t="shared" si="65"/>
        <v>1</v>
      </c>
    </row>
    <row r="1434" spans="1:7" ht="12.75">
      <c r="A1434" s="36" t="s">
        <v>706</v>
      </c>
      <c r="B1434" s="15" t="s">
        <v>694</v>
      </c>
      <c r="C1434" s="2">
        <v>1</v>
      </c>
      <c r="E1434" s="4">
        <f>1</f>
        <v>1</v>
      </c>
      <c r="G1434" s="18">
        <f t="shared" si="65"/>
        <v>1</v>
      </c>
    </row>
    <row r="1435" spans="1:7" ht="12.75">
      <c r="A1435" s="36" t="s">
        <v>708</v>
      </c>
      <c r="B1435" s="15" t="s">
        <v>694</v>
      </c>
      <c r="C1435" s="2">
        <v>1</v>
      </c>
      <c r="E1435" s="4">
        <f>1</f>
        <v>1</v>
      </c>
      <c r="G1435" s="18">
        <f t="shared" si="65"/>
        <v>1</v>
      </c>
    </row>
    <row r="1436" spans="1:7" ht="12.75">
      <c r="A1436" s="36" t="s">
        <v>1586</v>
      </c>
      <c r="B1436" s="15" t="s">
        <v>1067</v>
      </c>
      <c r="C1436" s="2">
        <v>1</v>
      </c>
      <c r="E1436" s="2">
        <v>1</v>
      </c>
      <c r="G1436" s="18">
        <f t="shared" si="65"/>
        <v>1</v>
      </c>
    </row>
    <row r="1437" spans="1:7" ht="12.75">
      <c r="A1437" s="36" t="s">
        <v>1829</v>
      </c>
      <c r="B1437" s="15" t="s">
        <v>1821</v>
      </c>
      <c r="C1437" s="2">
        <v>1</v>
      </c>
      <c r="E1437" s="2">
        <v>1</v>
      </c>
      <c r="G1437" s="18">
        <f t="shared" si="65"/>
        <v>1</v>
      </c>
    </row>
    <row r="1438" spans="1:7" ht="12.75">
      <c r="A1438" s="36" t="s">
        <v>1825</v>
      </c>
      <c r="B1438" s="15" t="s">
        <v>1821</v>
      </c>
      <c r="C1438" s="2">
        <v>1</v>
      </c>
      <c r="E1438" s="2">
        <v>1</v>
      </c>
      <c r="G1438" s="18">
        <f t="shared" si="65"/>
        <v>1</v>
      </c>
    </row>
    <row r="1439" spans="1:7" ht="12.75">
      <c r="A1439" s="36" t="s">
        <v>1828</v>
      </c>
      <c r="B1439" s="15" t="s">
        <v>1821</v>
      </c>
      <c r="C1439" s="2">
        <v>1</v>
      </c>
      <c r="E1439" s="2">
        <v>1</v>
      </c>
      <c r="G1439" s="18">
        <f t="shared" si="65"/>
        <v>1</v>
      </c>
    </row>
    <row r="1440" spans="1:7" ht="12.75">
      <c r="A1440" s="36" t="s">
        <v>1827</v>
      </c>
      <c r="B1440" s="15" t="s">
        <v>1821</v>
      </c>
      <c r="C1440" s="2">
        <v>1</v>
      </c>
      <c r="E1440" s="2">
        <v>1</v>
      </c>
      <c r="G1440" s="18">
        <f t="shared" si="65"/>
        <v>1</v>
      </c>
    </row>
    <row r="1441" spans="1:7" ht="12.75">
      <c r="A1441" s="36" t="s">
        <v>194</v>
      </c>
      <c r="B1441" s="15" t="s">
        <v>1980</v>
      </c>
      <c r="C1441" s="2">
        <v>1</v>
      </c>
      <c r="E1441" s="4">
        <v>1</v>
      </c>
      <c r="G1441" s="18">
        <f t="shared" si="65"/>
        <v>1</v>
      </c>
    </row>
    <row r="1442" spans="1:7" ht="12.75">
      <c r="A1442" s="36" t="s">
        <v>197</v>
      </c>
      <c r="B1442" s="15" t="s">
        <v>1980</v>
      </c>
      <c r="C1442" s="2">
        <v>1</v>
      </c>
      <c r="E1442" s="4">
        <v>1</v>
      </c>
      <c r="G1442" s="18">
        <f t="shared" si="65"/>
        <v>1</v>
      </c>
    </row>
    <row r="1443" spans="1:7" ht="12.75">
      <c r="A1443" s="36" t="s">
        <v>427</v>
      </c>
      <c r="B1443" s="15" t="s">
        <v>422</v>
      </c>
      <c r="C1443" s="2">
        <v>1</v>
      </c>
      <c r="E1443" s="4">
        <v>1</v>
      </c>
      <c r="G1443" s="18">
        <f t="shared" si="65"/>
        <v>1</v>
      </c>
    </row>
    <row r="1444" spans="1:7" ht="12.75">
      <c r="A1444" s="36" t="s">
        <v>426</v>
      </c>
      <c r="B1444" s="15" t="s">
        <v>422</v>
      </c>
      <c r="C1444" s="2">
        <v>1</v>
      </c>
      <c r="E1444" s="4">
        <v>1</v>
      </c>
      <c r="G1444" s="18">
        <f t="shared" si="65"/>
        <v>1</v>
      </c>
    </row>
    <row r="1445" spans="1:7" ht="12.75">
      <c r="A1445" s="36" t="s">
        <v>286</v>
      </c>
      <c r="B1445" s="15" t="s">
        <v>278</v>
      </c>
      <c r="C1445" s="2">
        <v>1</v>
      </c>
      <c r="E1445" s="4">
        <f>1</f>
        <v>1</v>
      </c>
      <c r="G1445" s="18">
        <f t="shared" si="65"/>
        <v>1</v>
      </c>
    </row>
    <row r="1446" spans="1:7" ht="12.75">
      <c r="A1446" s="36" t="s">
        <v>288</v>
      </c>
      <c r="B1446" s="15" t="s">
        <v>278</v>
      </c>
      <c r="C1446" s="2">
        <v>1</v>
      </c>
      <c r="E1446" s="4">
        <f>1</f>
        <v>1</v>
      </c>
      <c r="G1446" s="18">
        <f t="shared" si="65"/>
        <v>1</v>
      </c>
    </row>
    <row r="1447" spans="1:7" ht="12.75">
      <c r="A1447" s="36" t="s">
        <v>291</v>
      </c>
      <c r="B1447" s="15" t="s">
        <v>278</v>
      </c>
      <c r="C1447" s="2">
        <v>1</v>
      </c>
      <c r="E1447" s="4">
        <f>1</f>
        <v>1</v>
      </c>
      <c r="G1447" s="18">
        <f t="shared" si="65"/>
        <v>1</v>
      </c>
    </row>
    <row r="1448" spans="1:7" ht="12.75">
      <c r="A1448" s="36" t="s">
        <v>1589</v>
      </c>
      <c r="B1448" s="15" t="s">
        <v>1070</v>
      </c>
      <c r="C1448" s="2">
        <v>1</v>
      </c>
      <c r="E1448" s="2">
        <v>1</v>
      </c>
      <c r="G1448" s="18">
        <f t="shared" si="65"/>
        <v>1</v>
      </c>
    </row>
    <row r="1449" spans="1:7" ht="12.75">
      <c r="A1449" s="36" t="s">
        <v>1587</v>
      </c>
      <c r="B1449" s="15" t="s">
        <v>1070</v>
      </c>
      <c r="C1449" s="2">
        <v>1</v>
      </c>
      <c r="E1449" s="2">
        <v>1</v>
      </c>
      <c r="G1449" s="18">
        <f t="shared" si="65"/>
        <v>1</v>
      </c>
    </row>
    <row r="1450" spans="1:7" ht="12.75">
      <c r="A1450" s="36" t="s">
        <v>1839</v>
      </c>
      <c r="B1450" s="15" t="s">
        <v>1833</v>
      </c>
      <c r="C1450" s="2">
        <v>1</v>
      </c>
      <c r="E1450" s="2">
        <v>1</v>
      </c>
      <c r="G1450" s="18">
        <f t="shared" si="65"/>
        <v>1</v>
      </c>
    </row>
    <row r="1451" spans="1:7" ht="12.75">
      <c r="A1451" s="36" t="s">
        <v>200</v>
      </c>
      <c r="B1451" s="15" t="s">
        <v>1983</v>
      </c>
      <c r="C1451" s="2">
        <v>1</v>
      </c>
      <c r="E1451" s="4">
        <v>1</v>
      </c>
      <c r="G1451" s="18">
        <f t="shared" si="65"/>
        <v>1</v>
      </c>
    </row>
    <row r="1452" spans="1:7" ht="12.75">
      <c r="A1452" s="36" t="s">
        <v>1851</v>
      </c>
      <c r="B1452" s="15" t="s">
        <v>1843</v>
      </c>
      <c r="C1452" s="2">
        <v>1</v>
      </c>
      <c r="E1452" s="2">
        <v>1</v>
      </c>
      <c r="G1452" s="18">
        <f aca="true" t="shared" si="66" ref="G1452:G1499">IF(C1452=0,0,E1452/C1452)</f>
        <v>1</v>
      </c>
    </row>
    <row r="1453" spans="1:7" ht="12.75">
      <c r="A1453" s="36" t="s">
        <v>1848</v>
      </c>
      <c r="B1453" s="15" t="s">
        <v>1843</v>
      </c>
      <c r="C1453" s="2">
        <v>1</v>
      </c>
      <c r="E1453" s="2">
        <v>1</v>
      </c>
      <c r="G1453" s="18">
        <f t="shared" si="66"/>
        <v>1</v>
      </c>
    </row>
    <row r="1454" spans="1:7" ht="12.75">
      <c r="A1454" s="36" t="s">
        <v>1850</v>
      </c>
      <c r="B1454" s="15" t="s">
        <v>1843</v>
      </c>
      <c r="C1454" s="2">
        <v>1</v>
      </c>
      <c r="E1454" s="2">
        <v>1</v>
      </c>
      <c r="G1454" s="18">
        <f t="shared" si="66"/>
        <v>1</v>
      </c>
    </row>
    <row r="1455" spans="1:7" ht="12.75">
      <c r="A1455" s="36" t="s">
        <v>202</v>
      </c>
      <c r="B1455" s="15" t="s">
        <v>1988</v>
      </c>
      <c r="C1455" s="2">
        <v>1</v>
      </c>
      <c r="E1455" s="4">
        <v>1</v>
      </c>
      <c r="G1455" s="18">
        <f t="shared" si="66"/>
        <v>1</v>
      </c>
    </row>
    <row r="1456" spans="1:7" ht="12.75">
      <c r="A1456" s="36" t="s">
        <v>922</v>
      </c>
      <c r="B1456" s="15" t="s">
        <v>917</v>
      </c>
      <c r="C1456" s="2">
        <v>1</v>
      </c>
      <c r="E1456" s="4">
        <f>1</f>
        <v>1</v>
      </c>
      <c r="G1456" s="18">
        <f t="shared" si="66"/>
        <v>1</v>
      </c>
    </row>
    <row r="1457" spans="1:7" ht="12.75">
      <c r="A1457" s="36" t="s">
        <v>924</v>
      </c>
      <c r="B1457" s="15" t="s">
        <v>917</v>
      </c>
      <c r="C1457" s="2">
        <v>1</v>
      </c>
      <c r="E1457" s="4">
        <f>1</f>
        <v>1</v>
      </c>
      <c r="G1457" s="18">
        <f t="shared" si="66"/>
        <v>1</v>
      </c>
    </row>
    <row r="1458" spans="1:7" ht="12.75">
      <c r="A1458" s="36" t="s">
        <v>1632</v>
      </c>
      <c r="B1458" s="15" t="s">
        <v>1196</v>
      </c>
      <c r="C1458" s="2">
        <v>1</v>
      </c>
      <c r="E1458" s="4">
        <v>1</v>
      </c>
      <c r="G1458" s="18">
        <f t="shared" si="66"/>
        <v>1</v>
      </c>
    </row>
    <row r="1459" spans="1:7" ht="12.75">
      <c r="A1459" s="36" t="s">
        <v>1633</v>
      </c>
      <c r="B1459" s="15" t="s">
        <v>1196</v>
      </c>
      <c r="C1459" s="2">
        <v>1</v>
      </c>
      <c r="E1459" s="4">
        <v>1</v>
      </c>
      <c r="G1459" s="18">
        <f t="shared" si="66"/>
        <v>1</v>
      </c>
    </row>
    <row r="1460" spans="1:7" ht="12.75">
      <c r="A1460" s="36" t="s">
        <v>1880</v>
      </c>
      <c r="B1460" s="15" t="s">
        <v>1854</v>
      </c>
      <c r="C1460" s="2">
        <v>1</v>
      </c>
      <c r="E1460" s="2">
        <v>1</v>
      </c>
      <c r="G1460" s="18">
        <f t="shared" si="66"/>
        <v>1</v>
      </c>
    </row>
    <row r="1461" spans="1:7" ht="12.75">
      <c r="A1461" s="36" t="s">
        <v>1879</v>
      </c>
      <c r="B1461" s="15" t="s">
        <v>1854</v>
      </c>
      <c r="C1461" s="2">
        <v>1</v>
      </c>
      <c r="E1461" s="2">
        <v>1</v>
      </c>
      <c r="G1461" s="18">
        <f t="shared" si="66"/>
        <v>1</v>
      </c>
    </row>
    <row r="1462" spans="1:7" ht="12.75">
      <c r="A1462" s="36" t="s">
        <v>890</v>
      </c>
      <c r="B1462" s="15" t="s">
        <v>878</v>
      </c>
      <c r="C1462" s="2">
        <v>1</v>
      </c>
      <c r="E1462" s="4">
        <f>1</f>
        <v>1</v>
      </c>
      <c r="G1462" s="18">
        <f t="shared" si="66"/>
        <v>1</v>
      </c>
    </row>
    <row r="1463" spans="1:7" ht="12.75">
      <c r="A1463" s="36" t="s">
        <v>1897</v>
      </c>
      <c r="B1463" s="15" t="s">
        <v>1891</v>
      </c>
      <c r="C1463" s="2">
        <v>1</v>
      </c>
      <c r="E1463" s="2">
        <v>1</v>
      </c>
      <c r="G1463" s="18">
        <f t="shared" si="66"/>
        <v>1</v>
      </c>
    </row>
    <row r="1464" spans="1:7" ht="12.75">
      <c r="A1464" s="36" t="s">
        <v>214</v>
      </c>
      <c r="B1464" s="15" t="s">
        <v>1996</v>
      </c>
      <c r="C1464" s="2">
        <v>1</v>
      </c>
      <c r="E1464" s="4">
        <v>1</v>
      </c>
      <c r="G1464" s="18">
        <f t="shared" si="66"/>
        <v>1</v>
      </c>
    </row>
    <row r="1465" spans="1:7" ht="12.75">
      <c r="A1465" s="36" t="s">
        <v>476</v>
      </c>
      <c r="B1465" s="15" t="s">
        <v>472</v>
      </c>
      <c r="C1465" s="2">
        <v>1</v>
      </c>
      <c r="E1465" s="4">
        <v>1</v>
      </c>
      <c r="G1465" s="18">
        <f t="shared" si="66"/>
        <v>1</v>
      </c>
    </row>
    <row r="1466" spans="1:7" ht="12.75">
      <c r="A1466" s="36" t="s">
        <v>868</v>
      </c>
      <c r="B1466" s="15" t="s">
        <v>859</v>
      </c>
      <c r="C1466" s="2">
        <v>1</v>
      </c>
      <c r="E1466" s="4">
        <f>1</f>
        <v>1</v>
      </c>
      <c r="G1466" s="18">
        <f t="shared" si="66"/>
        <v>1</v>
      </c>
    </row>
    <row r="1467" spans="1:7" ht="12.75">
      <c r="A1467" s="36" t="s">
        <v>318</v>
      </c>
      <c r="B1467" s="15" t="s">
        <v>308</v>
      </c>
      <c r="C1467" s="2">
        <v>1</v>
      </c>
      <c r="E1467" s="4">
        <f>1</f>
        <v>1</v>
      </c>
      <c r="G1467" s="18">
        <f t="shared" si="66"/>
        <v>1</v>
      </c>
    </row>
    <row r="1468" spans="1:7" ht="12.75">
      <c r="A1468" s="36" t="s">
        <v>940</v>
      </c>
      <c r="B1468" s="15" t="s">
        <v>930</v>
      </c>
      <c r="C1468" s="2">
        <v>1</v>
      </c>
      <c r="E1468" s="4">
        <f>1</f>
        <v>1</v>
      </c>
      <c r="G1468" s="18">
        <f t="shared" si="66"/>
        <v>1</v>
      </c>
    </row>
    <row r="1469" spans="1:7" ht="12.75">
      <c r="A1469" s="36" t="s">
        <v>943</v>
      </c>
      <c r="B1469" s="15" t="s">
        <v>930</v>
      </c>
      <c r="C1469" s="2">
        <v>1</v>
      </c>
      <c r="E1469" s="4">
        <f>1</f>
        <v>1</v>
      </c>
      <c r="G1469" s="18">
        <f t="shared" si="66"/>
        <v>1</v>
      </c>
    </row>
    <row r="1470" spans="1:7" ht="12.75">
      <c r="A1470" s="36" t="s">
        <v>274</v>
      </c>
      <c r="B1470" s="15" t="s">
        <v>259</v>
      </c>
      <c r="C1470" s="2">
        <v>1</v>
      </c>
      <c r="E1470" s="4">
        <f>1</f>
        <v>1</v>
      </c>
      <c r="G1470" s="18">
        <f t="shared" si="66"/>
        <v>1</v>
      </c>
    </row>
    <row r="1471" spans="1:7" ht="12.75">
      <c r="A1471" s="36" t="s">
        <v>1625</v>
      </c>
      <c r="B1471" s="15" t="s">
        <v>1199</v>
      </c>
      <c r="C1471" s="2">
        <v>1</v>
      </c>
      <c r="E1471" s="4">
        <v>1</v>
      </c>
      <c r="G1471" s="18">
        <f t="shared" si="66"/>
        <v>1</v>
      </c>
    </row>
    <row r="1472" spans="1:7" ht="12.75">
      <c r="A1472" s="36" t="s">
        <v>1624</v>
      </c>
      <c r="B1472" s="15" t="s">
        <v>1199</v>
      </c>
      <c r="C1472" s="2">
        <v>1</v>
      </c>
      <c r="E1472" s="4">
        <v>1</v>
      </c>
      <c r="G1472" s="18">
        <f t="shared" si="66"/>
        <v>1</v>
      </c>
    </row>
    <row r="1473" spans="1:7" ht="12.75">
      <c r="A1473" s="36" t="s">
        <v>216</v>
      </c>
      <c r="B1473" s="15" t="s">
        <v>140</v>
      </c>
      <c r="C1473" s="2">
        <v>1</v>
      </c>
      <c r="E1473" s="4">
        <v>1</v>
      </c>
      <c r="G1473" s="18">
        <f t="shared" si="66"/>
        <v>1</v>
      </c>
    </row>
    <row r="1474" spans="1:7" ht="12.75">
      <c r="A1474" s="36" t="s">
        <v>217</v>
      </c>
      <c r="B1474" s="15" t="s">
        <v>140</v>
      </c>
      <c r="C1474" s="2">
        <v>1</v>
      </c>
      <c r="E1474" s="4">
        <v>1</v>
      </c>
      <c r="G1474" s="18">
        <f t="shared" si="66"/>
        <v>1</v>
      </c>
    </row>
    <row r="1475" spans="1:7" ht="12.75">
      <c r="A1475" s="36" t="s">
        <v>952</v>
      </c>
      <c r="B1475" s="15" t="s">
        <v>950</v>
      </c>
      <c r="C1475" s="2">
        <v>1</v>
      </c>
      <c r="E1475" s="4">
        <f>1</f>
        <v>1</v>
      </c>
      <c r="G1475" s="18">
        <f t="shared" si="66"/>
        <v>1</v>
      </c>
    </row>
    <row r="1476" spans="1:7" ht="12.75">
      <c r="A1476" s="36" t="s">
        <v>453</v>
      </c>
      <c r="B1476" s="15" t="s">
        <v>448</v>
      </c>
      <c r="C1476" s="2">
        <v>1</v>
      </c>
      <c r="E1476" s="4">
        <f>1</f>
        <v>1</v>
      </c>
      <c r="G1476" s="18">
        <f t="shared" si="66"/>
        <v>1</v>
      </c>
    </row>
    <row r="1477" spans="1:7" ht="12.75">
      <c r="A1477" s="36" t="s">
        <v>455</v>
      </c>
      <c r="B1477" s="15" t="s">
        <v>448</v>
      </c>
      <c r="C1477" s="2">
        <v>1</v>
      </c>
      <c r="E1477" s="4">
        <f>1</f>
        <v>1</v>
      </c>
      <c r="G1477" s="18">
        <f t="shared" si="66"/>
        <v>1</v>
      </c>
    </row>
    <row r="1478" spans="1:7" ht="12.75">
      <c r="A1478" s="36" t="s">
        <v>1634</v>
      </c>
      <c r="B1478" s="15" t="s">
        <v>1368</v>
      </c>
      <c r="C1478" s="2">
        <v>1</v>
      </c>
      <c r="E1478" s="4">
        <v>1</v>
      </c>
      <c r="G1478" s="18">
        <f t="shared" si="66"/>
        <v>1</v>
      </c>
    </row>
    <row r="1479" spans="1:7" ht="12.75">
      <c r="A1479" s="36" t="s">
        <v>209</v>
      </c>
      <c r="B1479" s="15" t="s">
        <v>12</v>
      </c>
      <c r="C1479" s="2">
        <v>1</v>
      </c>
      <c r="E1479" s="4">
        <v>1</v>
      </c>
      <c r="G1479" s="18">
        <f t="shared" si="66"/>
        <v>1</v>
      </c>
    </row>
    <row r="1480" spans="1:7" ht="12.75">
      <c r="A1480" s="36" t="s">
        <v>208</v>
      </c>
      <c r="B1480" s="15" t="s">
        <v>12</v>
      </c>
      <c r="C1480" s="2">
        <v>1</v>
      </c>
      <c r="E1480" s="4">
        <v>1</v>
      </c>
      <c r="G1480" s="18">
        <f t="shared" si="66"/>
        <v>1</v>
      </c>
    </row>
    <row r="1481" spans="1:7" ht="12.75">
      <c r="A1481" s="36" t="s">
        <v>497</v>
      </c>
      <c r="B1481" s="15" t="s">
        <v>495</v>
      </c>
      <c r="C1481" s="2">
        <v>1</v>
      </c>
      <c r="E1481" s="4">
        <v>1</v>
      </c>
      <c r="G1481" s="18">
        <f t="shared" si="66"/>
        <v>1</v>
      </c>
    </row>
    <row r="1482" spans="1:7" ht="12.75">
      <c r="A1482" s="36" t="s">
        <v>500</v>
      </c>
      <c r="B1482" s="15" t="s">
        <v>495</v>
      </c>
      <c r="C1482" s="2">
        <v>1</v>
      </c>
      <c r="E1482" s="4">
        <v>1</v>
      </c>
      <c r="G1482" s="18">
        <f t="shared" si="66"/>
        <v>1</v>
      </c>
    </row>
    <row r="1483" spans="1:7" ht="12.75">
      <c r="A1483" s="36" t="s">
        <v>962</v>
      </c>
      <c r="B1483" s="15" t="s">
        <v>956</v>
      </c>
      <c r="C1483" s="2">
        <v>1</v>
      </c>
      <c r="E1483" s="4">
        <f>1</f>
        <v>1</v>
      </c>
      <c r="G1483" s="18">
        <f t="shared" si="66"/>
        <v>1</v>
      </c>
    </row>
    <row r="1484" spans="1:7" ht="12.75">
      <c r="A1484" s="36" t="s">
        <v>965</v>
      </c>
      <c r="B1484" s="15" t="s">
        <v>956</v>
      </c>
      <c r="C1484" s="2">
        <v>1</v>
      </c>
      <c r="E1484" s="4">
        <f>1</f>
        <v>1</v>
      </c>
      <c r="G1484" s="18">
        <f t="shared" si="66"/>
        <v>1</v>
      </c>
    </row>
    <row r="1485" spans="1:7" ht="12.75">
      <c r="A1485" s="36" t="s">
        <v>113</v>
      </c>
      <c r="B1485" s="15" t="s">
        <v>98</v>
      </c>
      <c r="C1485" s="2">
        <v>1</v>
      </c>
      <c r="E1485" s="4">
        <f>1</f>
        <v>1</v>
      </c>
      <c r="G1485" s="18">
        <f t="shared" si="66"/>
        <v>1</v>
      </c>
    </row>
    <row r="1486" spans="1:7" ht="12.75">
      <c r="A1486" s="36" t="s">
        <v>1931</v>
      </c>
      <c r="B1486" s="15" t="s">
        <v>1921</v>
      </c>
      <c r="C1486" s="2">
        <v>1</v>
      </c>
      <c r="E1486" s="2">
        <v>1</v>
      </c>
      <c r="G1486" s="18">
        <f t="shared" si="66"/>
        <v>1</v>
      </c>
    </row>
    <row r="1487" spans="1:7" ht="12.75">
      <c r="A1487" s="36" t="s">
        <v>227</v>
      </c>
      <c r="B1487" s="15" t="s">
        <v>20</v>
      </c>
      <c r="C1487" s="2">
        <v>1</v>
      </c>
      <c r="E1487" s="4">
        <v>1</v>
      </c>
      <c r="G1487" s="18">
        <f t="shared" si="66"/>
        <v>1</v>
      </c>
    </row>
    <row r="1488" spans="1:7" ht="12.75">
      <c r="A1488" s="36" t="s">
        <v>226</v>
      </c>
      <c r="B1488" s="15" t="s">
        <v>20</v>
      </c>
      <c r="C1488" s="2">
        <v>1</v>
      </c>
      <c r="E1488" s="4">
        <v>1</v>
      </c>
      <c r="G1488" s="18">
        <f t="shared" si="66"/>
        <v>1</v>
      </c>
    </row>
    <row r="1489" spans="1:7" ht="12.75">
      <c r="A1489" s="36" t="s">
        <v>971</v>
      </c>
      <c r="B1489" s="15" t="s">
        <v>968</v>
      </c>
      <c r="C1489" s="2">
        <v>1</v>
      </c>
      <c r="E1489" s="4">
        <f>1</f>
        <v>1</v>
      </c>
      <c r="G1489" s="18">
        <f t="shared" si="66"/>
        <v>1</v>
      </c>
    </row>
    <row r="1490" spans="1:7" ht="12.75">
      <c r="A1490" s="36" t="s">
        <v>972</v>
      </c>
      <c r="B1490" s="15" t="s">
        <v>968</v>
      </c>
      <c r="C1490" s="2">
        <v>1</v>
      </c>
      <c r="E1490" s="4">
        <f>1</f>
        <v>1</v>
      </c>
      <c r="G1490" s="18">
        <f t="shared" si="66"/>
        <v>1</v>
      </c>
    </row>
    <row r="1491" spans="1:7" ht="12.75">
      <c r="A1491" s="36" t="s">
        <v>725</v>
      </c>
      <c r="B1491" s="15" t="s">
        <v>717</v>
      </c>
      <c r="C1491" s="2">
        <v>1</v>
      </c>
      <c r="E1491" s="4">
        <f>1</f>
        <v>1</v>
      </c>
      <c r="G1491" s="18">
        <f t="shared" si="66"/>
        <v>1</v>
      </c>
    </row>
    <row r="1492" spans="1:7" ht="12.75">
      <c r="A1492" s="36" t="s">
        <v>1599</v>
      </c>
      <c r="B1492" s="15" t="s">
        <v>1064</v>
      </c>
      <c r="C1492" s="2">
        <v>1</v>
      </c>
      <c r="E1492" s="2">
        <v>1</v>
      </c>
      <c r="G1492" s="18">
        <f t="shared" si="66"/>
        <v>1</v>
      </c>
    </row>
    <row r="1493" spans="1:7" ht="12.75">
      <c r="A1493" s="36" t="s">
        <v>1598</v>
      </c>
      <c r="B1493" s="15" t="s">
        <v>1064</v>
      </c>
      <c r="C1493" s="2">
        <v>1</v>
      </c>
      <c r="E1493" s="2">
        <v>1</v>
      </c>
      <c r="G1493" s="18">
        <f t="shared" si="66"/>
        <v>1</v>
      </c>
    </row>
    <row r="1494" spans="1:7" ht="12.75">
      <c r="A1494" s="36" t="s">
        <v>232</v>
      </c>
      <c r="B1494" s="15" t="s">
        <v>24</v>
      </c>
      <c r="C1494" s="2">
        <v>1</v>
      </c>
      <c r="E1494" s="4">
        <v>1</v>
      </c>
      <c r="G1494" s="18">
        <f t="shared" si="66"/>
        <v>1</v>
      </c>
    </row>
    <row r="1495" spans="1:7" ht="12.75">
      <c r="A1495" s="36" t="s">
        <v>516</v>
      </c>
      <c r="B1495" s="15" t="s">
        <v>513</v>
      </c>
      <c r="C1495" s="2">
        <v>1</v>
      </c>
      <c r="E1495" s="4">
        <v>1</v>
      </c>
      <c r="G1495" s="18">
        <f t="shared" si="66"/>
        <v>1</v>
      </c>
    </row>
    <row r="1496" spans="1:7" ht="12.75">
      <c r="A1496" s="36" t="s">
        <v>517</v>
      </c>
      <c r="B1496" s="15" t="s">
        <v>513</v>
      </c>
      <c r="C1496" s="2">
        <v>1</v>
      </c>
      <c r="E1496" s="4">
        <v>1</v>
      </c>
      <c r="G1496" s="18">
        <f t="shared" si="66"/>
        <v>1</v>
      </c>
    </row>
    <row r="1497" spans="1:7" ht="12.75">
      <c r="A1497" s="36" t="s">
        <v>518</v>
      </c>
      <c r="B1497" s="15" t="s">
        <v>513</v>
      </c>
      <c r="C1497" s="2">
        <v>1</v>
      </c>
      <c r="E1497" s="4">
        <v>1</v>
      </c>
      <c r="G1497" s="18">
        <f t="shared" si="66"/>
        <v>1</v>
      </c>
    </row>
    <row r="1498" spans="1:7" ht="12.75">
      <c r="A1498" s="36" t="s">
        <v>982</v>
      </c>
      <c r="B1498" s="15" t="s">
        <v>974</v>
      </c>
      <c r="C1498" s="2">
        <v>1</v>
      </c>
      <c r="E1498" s="4">
        <f>1</f>
        <v>1</v>
      </c>
      <c r="G1498" s="18">
        <f t="shared" si="66"/>
        <v>1</v>
      </c>
    </row>
    <row r="1499" spans="1:7" ht="12.75">
      <c r="A1499" s="36" t="s">
        <v>78</v>
      </c>
      <c r="B1499" s="15" t="s">
        <v>69</v>
      </c>
      <c r="C1499" s="2">
        <v>1</v>
      </c>
      <c r="E1499" s="4">
        <f>1</f>
        <v>1</v>
      </c>
      <c r="G1499" s="18">
        <f t="shared" si="66"/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Berro</cp:lastModifiedBy>
  <dcterms:created xsi:type="dcterms:W3CDTF">2005-03-29T04:30:29Z</dcterms:created>
  <dcterms:modified xsi:type="dcterms:W3CDTF">2024-02-14T02:48:32Z</dcterms:modified>
  <cp:category/>
  <cp:version/>
  <cp:contentType/>
  <cp:contentStatus/>
</cp:coreProperties>
</file>