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Files\WebPages\"/>
    </mc:Choice>
  </mc:AlternateContent>
  <xr:revisionPtr revIDLastSave="0" documentId="13_ncr:1_{0ADC95EC-A86D-4557-B8C9-740B7BE83F2A}" xr6:coauthVersionLast="47" xr6:coauthVersionMax="47" xr10:uidLastSave="{00000000-0000-0000-0000-000000000000}"/>
  <bookViews>
    <workbookView xWindow="-120" yWindow="-120" windowWidth="29040" windowHeight="15720" xr2:uid="{30DEF472-A470-409F-B5BB-EFD2C4681022}"/>
  </bookViews>
  <sheets>
    <sheet name="2025 SOMIFATeamPreview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B18" i="1"/>
  <c r="E9" i="1"/>
  <c r="B9" i="1"/>
  <c r="E17" i="1"/>
  <c r="B17" i="1"/>
  <c r="E26" i="1"/>
  <c r="B26" i="1"/>
  <c r="O13" i="1"/>
  <c r="O18" i="1"/>
  <c r="O11" i="1"/>
  <c r="O26" i="1"/>
  <c r="O15" i="1"/>
  <c r="O17" i="1"/>
  <c r="O10" i="1"/>
  <c r="O6" i="1"/>
  <c r="O19" i="1"/>
  <c r="O8" i="1"/>
  <c r="O27" i="1"/>
  <c r="O23" i="1"/>
  <c r="O16" i="1"/>
  <c r="O24" i="1"/>
  <c r="O5" i="1"/>
  <c r="O25" i="1"/>
  <c r="O21" i="1"/>
  <c r="O9" i="1"/>
  <c r="O20" i="1"/>
  <c r="O4" i="1"/>
  <c r="O14" i="1"/>
  <c r="O7" i="1"/>
  <c r="O22" i="1"/>
  <c r="O12" i="1"/>
  <c r="L11" i="1"/>
  <c r="L26" i="1"/>
  <c r="L15" i="1"/>
  <c r="L19" i="1"/>
  <c r="L8" i="1"/>
  <c r="L27" i="1"/>
  <c r="L16" i="1"/>
  <c r="L24" i="1"/>
  <c r="L25" i="1"/>
  <c r="L20" i="1"/>
  <c r="L14" i="1"/>
  <c r="L12" i="1"/>
  <c r="E15" i="1"/>
  <c r="B15" i="1"/>
  <c r="E19" i="1" l="1"/>
  <c r="B19" i="1"/>
  <c r="E23" i="1"/>
  <c r="B23" i="1"/>
  <c r="E7" i="1"/>
  <c r="B7" i="1"/>
  <c r="E14" i="1"/>
  <c r="B14" i="1"/>
  <c r="E22" i="1"/>
  <c r="B22" i="1"/>
  <c r="E10" i="1"/>
  <c r="B10" i="1"/>
  <c r="E8" i="1"/>
  <c r="B8" i="1"/>
  <c r="E25" i="1"/>
  <c r="B25" i="1"/>
  <c r="E27" i="1"/>
  <c r="B27" i="1"/>
  <c r="E16" i="1"/>
  <c r="B16" i="1"/>
  <c r="E24" i="1" l="1"/>
  <c r="B24" i="1"/>
  <c r="E11" i="1"/>
  <c r="B11" i="1"/>
  <c r="E13" i="1"/>
  <c r="B13" i="1"/>
  <c r="E6" i="1"/>
  <c r="B6" i="1"/>
  <c r="E21" i="1"/>
  <c r="B21" i="1"/>
  <c r="E20" i="1"/>
  <c r="B20" i="1"/>
  <c r="E5" i="1"/>
  <c r="B5" i="1"/>
  <c r="E4" i="1"/>
  <c r="B4" i="1"/>
  <c r="E12" i="1"/>
  <c r="B12" i="1"/>
</calcChain>
</file>

<file path=xl/sharedStrings.xml><?xml version="1.0" encoding="utf-8"?>
<sst xmlns="http://schemas.openxmlformats.org/spreadsheetml/2006/main" count="88" uniqueCount="87">
  <si>
    <t>Ratings</t>
  </si>
  <si>
    <t>Pass Rush/Block = add up all 5 OL pass block ratings (counting a 7 as a 9) and 4 DL pass rush ratings (or 3 DL pass rush ratings and 1/3 of best LB pass rush rating)</t>
  </si>
  <si>
    <t>Pass Rush/Block</t>
  </si>
  <si>
    <t>QB</t>
  </si>
  <si>
    <t>RBs</t>
  </si>
  <si>
    <t>ARI</t>
  </si>
  <si>
    <t>CHI</t>
  </si>
  <si>
    <t>CIN</t>
  </si>
  <si>
    <t>DAL</t>
  </si>
  <si>
    <t>DET</t>
  </si>
  <si>
    <t>GB</t>
  </si>
  <si>
    <t>HOU</t>
  </si>
  <si>
    <t>LAC</t>
  </si>
  <si>
    <t>LAR</t>
  </si>
  <si>
    <t>MIN</t>
  </si>
  <si>
    <t>NYG</t>
  </si>
  <si>
    <t>PIT</t>
  </si>
  <si>
    <t>SF</t>
  </si>
  <si>
    <t>SEA</t>
  </si>
  <si>
    <t>TB</t>
  </si>
  <si>
    <t>Ratings = add up all 5 OL run block ratings with 4 DL run defense ratings (or 3 DL run defense ratings), average of TE and 2nd TE or BB run block rating, 3 LB pass defense ratings (or 2 OLB pass defense ratings and average of run and pass defense rating for each of 2 ILB), and 4 DB pass defense ratings (a 0 counts as a 3)</t>
  </si>
  <si>
    <t>This does not count pass rushers on the bench or pass rushing LBs from a 4-3 defense.</t>
  </si>
  <si>
    <t>Rank</t>
  </si>
  <si>
    <t>CLE</t>
  </si>
  <si>
    <t>Reminder:  RB ratings are not subjective, they are based only on a formula for off tackle yardage on their cards, by contrast QB ratings are purely subjective</t>
  </si>
  <si>
    <t>PHI</t>
  </si>
  <si>
    <t>ATL</t>
  </si>
  <si>
    <t>BUF</t>
  </si>
  <si>
    <t>CAR</t>
  </si>
  <si>
    <t>DEN</t>
  </si>
  <si>
    <t>IND</t>
  </si>
  <si>
    <t>LAV</t>
  </si>
  <si>
    <t>NYJ</t>
  </si>
  <si>
    <t>#13 R.Davis and #36 J.Warren</t>
  </si>
  <si>
    <t>#19 J.Dart</t>
  </si>
  <si>
    <t>#8 D.Prescott</t>
  </si>
  <si>
    <t>#4 J.Love</t>
  </si>
  <si>
    <t>#30 T.Lawrence and #31 M.Penix</t>
  </si>
  <si>
    <t>#1 D.Maye</t>
  </si>
  <si>
    <t>#22 B.Nix</t>
  </si>
  <si>
    <t>#9 A.Rodgers</t>
  </si>
  <si>
    <t>#23 J.Fields</t>
  </si>
  <si>
    <t>#14 T.Shough</t>
  </si>
  <si>
    <t>#2 M.Stafford</t>
  </si>
  <si>
    <t>#21 S.Darnold</t>
  </si>
  <si>
    <t>#20 J.Hurts</t>
  </si>
  <si>
    <t>#5 J.Allen</t>
  </si>
  <si>
    <t>#24 C.Williams</t>
  </si>
  <si>
    <t>#3 J.Goff</t>
  </si>
  <si>
    <t>#7 L.Jackson</t>
  </si>
  <si>
    <t>#6 J.Burrow</t>
  </si>
  <si>
    <t>#11 J.Herbert</t>
  </si>
  <si>
    <t>#12 C.Stroud</t>
  </si>
  <si>
    <t>#17 K.Murray</t>
  </si>
  <si>
    <t>#25 J.Daniels</t>
  </si>
  <si>
    <t>#13 D.Jones</t>
  </si>
  <si>
    <t>#18 B.Purdy</t>
  </si>
  <si>
    <t>#10 P.Mahomes</t>
  </si>
  <si>
    <t>#10 J.Mason and #32 I.Pacheco</t>
  </si>
  <si>
    <t>#30 J.Gibbs and #33 K.Gainwell</t>
  </si>
  <si>
    <t>#3 J.Cook and #42 C.Hubbard</t>
  </si>
  <si>
    <t>#23 C.Skattebo and #37 C.Brown</t>
  </si>
  <si>
    <t>#2 J.Taylor and #43 J.Wright</t>
  </si>
  <si>
    <t>#12 D.Swift and #44 B.Hall</t>
  </si>
  <si>
    <t>#5 D.Henry</t>
  </si>
  <si>
    <t>#47 D.Singletary and #51 E.Wilson</t>
  </si>
  <si>
    <t>#8 K.Williams and #19 R.Dowdle</t>
  </si>
  <si>
    <t>#24 R.White and #50 N.Chubb</t>
  </si>
  <si>
    <t>#18 O.Hampton and #26 T.Henderson</t>
  </si>
  <si>
    <t>#25 Bi.Robinson and #35 Travis Etienne</t>
  </si>
  <si>
    <t>#20 K.Monangai and #21 T.Tracy</t>
  </si>
  <si>
    <t>#14 Z.Charbonnet and #27 R.Stevenson</t>
  </si>
  <si>
    <t>#7 J.Dobbins and #46 S.Perine</t>
  </si>
  <si>
    <t>#6 K.Walker and #38 D.Montgomery</t>
  </si>
  <si>
    <t>#1 D.Achane and #59 Q.Judkins</t>
  </si>
  <si>
    <t>#31 C.McCaffrey</t>
  </si>
  <si>
    <t>#29 K.Vidal and #41 S.Barkley</t>
  </si>
  <si>
    <t>#11 B.Corum and #28 T.Johnson</t>
  </si>
  <si>
    <t>#4 C.Rodriguez and #15 J.Croskey-Merritt</t>
  </si>
  <si>
    <t>#16 T.Pollard and #39 B.Tuten</t>
  </si>
  <si>
    <t>#22 J.Williams and #34 T.Spears</t>
  </si>
  <si>
    <t>QBRank</t>
  </si>
  <si>
    <t>RBRank</t>
  </si>
  <si>
    <t>Avg Rank</t>
  </si>
  <si>
    <t>The first column for QB and RB is just a copy of the QB’s or RB’s rank overall among QBs (obtained from the card rankings worksheet of the rosters), and in the case of RBs with fewer than 200 carries I average the team’s top two RBs.</t>
  </si>
  <si>
    <t xml:space="preserve">  The second column is the ordered ranking for that team’s QB or RB 1-24 compared with each other team.</t>
  </si>
  <si>
    <t>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</si>
</sst>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64" fontId="0" fillId="0" borderId="0" xfId="0" applyNumberForma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</cellXfs>
  <cellStyles count="2">
    <cellStyle name="Normal" xfId="0" builtinId="0"/>
    <cellStyle name="Normal 2" xfId="1" xr:uid="{B8B99DA8-4A6F-412A-B6F5-F0D3136DFF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79E75-180D-4762-8066-D05920061D59}">
  <dimension ref="A2:Q36"/>
  <sheetViews>
    <sheetView tabSelected="1" topLeftCell="A2" workbookViewId="0">
      <selection activeCell="A2" sqref="A2"/>
    </sheetView>
  </sheetViews>
  <sheetFormatPr defaultRowHeight="15" x14ac:dyDescent="0.25"/>
  <cols>
    <col min="3" max="3" width="3" style="2" bestFit="1" customWidth="1"/>
    <col min="4" max="4" width="3" style="2" customWidth="1"/>
    <col min="5" max="5" width="15.28515625" bestFit="1" customWidth="1"/>
    <col min="6" max="6" width="3" style="2" bestFit="1" customWidth="1"/>
    <col min="7" max="7" width="3" style="2" customWidth="1"/>
    <col min="8" max="8" width="30" bestFit="1" customWidth="1"/>
    <col min="9" max="9" width="35.85546875" bestFit="1" customWidth="1"/>
    <col min="10" max="17" width="9.140625" style="5"/>
  </cols>
  <sheetData>
    <row r="2" spans="1:17" x14ac:dyDescent="0.25">
      <c r="B2" s="5" t="s">
        <v>0</v>
      </c>
      <c r="C2" s="2" t="s">
        <v>22</v>
      </c>
      <c r="E2" s="5" t="s">
        <v>2</v>
      </c>
      <c r="F2" s="2" t="s">
        <v>22</v>
      </c>
      <c r="H2" t="s">
        <v>3</v>
      </c>
      <c r="I2" t="s">
        <v>4</v>
      </c>
      <c r="J2" s="5" t="s">
        <v>81</v>
      </c>
      <c r="L2" s="5" t="s">
        <v>82</v>
      </c>
      <c r="O2" s="5" t="s">
        <v>83</v>
      </c>
      <c r="Q2" s="5" t="s">
        <v>86</v>
      </c>
    </row>
    <row r="3" spans="1:17" x14ac:dyDescent="0.25">
      <c r="A3" s="4"/>
      <c r="B3" s="1"/>
      <c r="C3" s="3"/>
      <c r="D3" s="3"/>
      <c r="E3" s="1"/>
      <c r="F3" s="3"/>
      <c r="G3" s="3"/>
    </row>
    <row r="4" spans="1:17" x14ac:dyDescent="0.25">
      <c r="A4" s="4" t="s">
        <v>6</v>
      </c>
      <c r="B4" s="1">
        <f>6+5+6+3+5+4+4+4+6+4+5.5+5+6+5+5+5+6</f>
        <v>84.5</v>
      </c>
      <c r="C4" s="3">
        <v>2</v>
      </c>
      <c r="D4" s="3"/>
      <c r="E4" s="1">
        <f>9+4+4+9+9+9+5+6+4.3</f>
        <v>59.3</v>
      </c>
      <c r="F4" s="3">
        <v>5</v>
      </c>
      <c r="G4" s="3"/>
      <c r="H4" t="s">
        <v>38</v>
      </c>
      <c r="I4" t="s">
        <v>62</v>
      </c>
      <c r="J4" s="5">
        <v>1</v>
      </c>
      <c r="K4" s="5">
        <v>1</v>
      </c>
      <c r="L4" s="5">
        <v>2</v>
      </c>
      <c r="M4" s="5">
        <v>2</v>
      </c>
      <c r="O4" s="5">
        <f t="shared" ref="O4:O27" si="0">(C4+F4+K4+M4)/4</f>
        <v>2.5</v>
      </c>
      <c r="Q4" s="5">
        <v>1</v>
      </c>
    </row>
    <row r="5" spans="1:17" x14ac:dyDescent="0.25">
      <c r="A5" s="4" t="s">
        <v>9</v>
      </c>
      <c r="B5" s="1">
        <f>6+5+5+5+6+4+4+4+6+4+5+6+4+6+6+6+5</f>
        <v>87</v>
      </c>
      <c r="C5" s="3">
        <v>1</v>
      </c>
      <c r="D5" s="3"/>
      <c r="E5" s="1">
        <f>9+4+2+5+9+13+7+7+5</f>
        <v>61</v>
      </c>
      <c r="F5" s="3">
        <v>4</v>
      </c>
      <c r="G5" s="3"/>
      <c r="H5" t="s">
        <v>43</v>
      </c>
      <c r="I5" t="s">
        <v>66</v>
      </c>
      <c r="J5" s="5">
        <v>2</v>
      </c>
      <c r="K5" s="5">
        <v>2</v>
      </c>
      <c r="L5" s="5">
        <v>8</v>
      </c>
      <c r="M5" s="5">
        <v>6</v>
      </c>
      <c r="O5" s="5">
        <f t="shared" si="0"/>
        <v>3.25</v>
      </c>
      <c r="Q5" s="5">
        <v>2</v>
      </c>
    </row>
    <row r="6" spans="1:17" x14ac:dyDescent="0.25">
      <c r="A6" s="4" t="s">
        <v>14</v>
      </c>
      <c r="B6" s="1">
        <f>6+5+6+4+5+4+6+3+6+4+5+3+6+6+5+4+5</f>
        <v>83</v>
      </c>
      <c r="C6" s="3">
        <v>3</v>
      </c>
      <c r="D6" s="3"/>
      <c r="E6" s="1">
        <f>9+4+9+5+9+3+8+3+8</f>
        <v>58</v>
      </c>
      <c r="F6" s="3">
        <v>7</v>
      </c>
      <c r="G6" s="3"/>
      <c r="H6" t="s">
        <v>50</v>
      </c>
      <c r="I6" t="s">
        <v>73</v>
      </c>
      <c r="J6" s="5">
        <v>6</v>
      </c>
      <c r="K6" s="5">
        <v>6</v>
      </c>
      <c r="L6" s="5">
        <v>6</v>
      </c>
      <c r="M6" s="5">
        <v>5</v>
      </c>
      <c r="O6" s="5">
        <f t="shared" si="0"/>
        <v>5.25</v>
      </c>
      <c r="Q6" s="5">
        <v>3</v>
      </c>
    </row>
    <row r="7" spans="1:17" x14ac:dyDescent="0.25">
      <c r="A7" s="4" t="s">
        <v>27</v>
      </c>
      <c r="B7" s="1">
        <f>4+4+6+5+5+4+3+5+5+4+6+5+3+4+5+5+6</f>
        <v>79</v>
      </c>
      <c r="C7" s="3">
        <v>6</v>
      </c>
      <c r="D7" s="3"/>
      <c r="E7" s="1">
        <f>5+4+9+9+5+10+3+7+5.7</f>
        <v>57.7</v>
      </c>
      <c r="F7" s="3">
        <v>8</v>
      </c>
      <c r="G7" s="3"/>
      <c r="H7" t="s">
        <v>36</v>
      </c>
      <c r="I7" t="s">
        <v>60</v>
      </c>
      <c r="J7" s="5">
        <v>4</v>
      </c>
      <c r="K7" s="5">
        <v>4</v>
      </c>
      <c r="L7" s="5">
        <v>3</v>
      </c>
      <c r="M7" s="5">
        <v>3</v>
      </c>
      <c r="O7" s="5">
        <f t="shared" si="0"/>
        <v>5.25</v>
      </c>
      <c r="Q7" s="5">
        <v>3</v>
      </c>
    </row>
    <row r="8" spans="1:17" x14ac:dyDescent="0.25">
      <c r="A8" s="4" t="s">
        <v>13</v>
      </c>
      <c r="B8" s="1">
        <f>6+6+3+4+4+4+5+5+6+4+4+4.5+4+4+5+3+4</f>
        <v>75.5</v>
      </c>
      <c r="C8" s="3">
        <v>14</v>
      </c>
      <c r="D8" s="3"/>
      <c r="E8" s="1">
        <f>3+9+3+9+3+7+5+24+2</f>
        <v>65</v>
      </c>
      <c r="F8" s="3">
        <v>2</v>
      </c>
      <c r="G8" s="3"/>
      <c r="H8" t="s">
        <v>48</v>
      </c>
      <c r="I8" t="s">
        <v>71</v>
      </c>
      <c r="J8" s="5">
        <v>3</v>
      </c>
      <c r="K8" s="5">
        <v>3</v>
      </c>
      <c r="L8" s="5">
        <f>(14+27)/2</f>
        <v>20.5</v>
      </c>
      <c r="M8" s="5">
        <v>11</v>
      </c>
      <c r="O8" s="5">
        <f t="shared" si="0"/>
        <v>7.5</v>
      </c>
      <c r="Q8" s="5">
        <v>5</v>
      </c>
    </row>
    <row r="9" spans="1:17" x14ac:dyDescent="0.25">
      <c r="A9" s="4" t="s">
        <v>23</v>
      </c>
      <c r="B9" s="1">
        <f>4+4+4+4+6+4+5+5+5+3+3.5+4+6+5+5+6+6</f>
        <v>79.5</v>
      </c>
      <c r="C9" s="3">
        <v>5</v>
      </c>
      <c r="D9" s="3"/>
      <c r="E9" s="1">
        <f>5+3+4+5+9+7+13+6+2.3</f>
        <v>54.3</v>
      </c>
      <c r="F9" s="3">
        <v>10</v>
      </c>
      <c r="G9" s="3"/>
      <c r="H9" t="s">
        <v>40</v>
      </c>
      <c r="I9" t="s">
        <v>63</v>
      </c>
      <c r="J9" s="5">
        <v>9</v>
      </c>
      <c r="K9" s="5">
        <v>9</v>
      </c>
      <c r="L9" s="5">
        <v>12</v>
      </c>
      <c r="M9" s="5">
        <v>8</v>
      </c>
      <c r="O9" s="5">
        <f t="shared" si="0"/>
        <v>8</v>
      </c>
      <c r="Q9" s="5">
        <v>6</v>
      </c>
    </row>
    <row r="10" spans="1:17" x14ac:dyDescent="0.25">
      <c r="A10" s="4" t="s">
        <v>15</v>
      </c>
      <c r="B10" s="1">
        <f>5+5+4+4+4+3.5+5+5+5+3+4+3.5+3+4+4+6+5</f>
        <v>73</v>
      </c>
      <c r="C10" s="3">
        <v>19</v>
      </c>
      <c r="D10" s="3"/>
      <c r="E10" s="1">
        <f>5+3+9+5+9+8+1+17+1.7</f>
        <v>58.7</v>
      </c>
      <c r="F10" s="3">
        <v>6</v>
      </c>
      <c r="G10" s="3"/>
      <c r="H10" t="s">
        <v>51</v>
      </c>
      <c r="I10" t="s">
        <v>74</v>
      </c>
      <c r="J10" s="5">
        <v>11</v>
      </c>
      <c r="K10" s="5">
        <v>11</v>
      </c>
      <c r="L10" s="5">
        <v>1</v>
      </c>
      <c r="M10" s="5">
        <v>1</v>
      </c>
      <c r="O10" s="5">
        <f t="shared" si="0"/>
        <v>9.25</v>
      </c>
      <c r="Q10" s="5">
        <v>7</v>
      </c>
    </row>
    <row r="11" spans="1:17" x14ac:dyDescent="0.25">
      <c r="A11" s="4" t="s">
        <v>18</v>
      </c>
      <c r="B11" s="1">
        <f>4+4+5+6+6+3.5+4+5+4+4+4+5.5+4+5+4+6+4</f>
        <v>78</v>
      </c>
      <c r="C11" s="3">
        <v>8</v>
      </c>
      <c r="D11" s="3"/>
      <c r="E11" s="1">
        <f>9+5+5+5+9+7+2+7+4.3</f>
        <v>53.3</v>
      </c>
      <c r="F11" s="3">
        <v>11</v>
      </c>
      <c r="G11" s="3"/>
      <c r="H11" t="s">
        <v>55</v>
      </c>
      <c r="I11" t="s">
        <v>78</v>
      </c>
      <c r="J11" s="5">
        <v>13</v>
      </c>
      <c r="K11" s="5">
        <v>13</v>
      </c>
      <c r="L11" s="5">
        <f>(4+15)/2</f>
        <v>9.5</v>
      </c>
      <c r="M11" s="5">
        <v>7</v>
      </c>
      <c r="O11" s="5">
        <f t="shared" si="0"/>
        <v>9.75</v>
      </c>
      <c r="Q11" s="5">
        <v>8</v>
      </c>
    </row>
    <row r="12" spans="1:17" x14ac:dyDescent="0.25">
      <c r="A12" s="4" t="s">
        <v>5</v>
      </c>
      <c r="B12" s="1">
        <f>6+5+4+5+5+3.5+4+4+6+4+5+4+4+4+4+5+4</f>
        <v>76.5</v>
      </c>
      <c r="C12" s="3">
        <v>9</v>
      </c>
      <c r="D12" s="3"/>
      <c r="E12" s="1">
        <f>9+3+9+9+9+4+1+14+5.7</f>
        <v>63.7</v>
      </c>
      <c r="F12" s="3">
        <v>3</v>
      </c>
      <c r="G12" s="3"/>
      <c r="H12" t="s">
        <v>34</v>
      </c>
      <c r="I12" t="s">
        <v>58</v>
      </c>
      <c r="J12" s="5">
        <v>19</v>
      </c>
      <c r="K12" s="5">
        <v>17</v>
      </c>
      <c r="L12" s="5">
        <f>(10+32)/2</f>
        <v>21</v>
      </c>
      <c r="M12" s="5">
        <v>13</v>
      </c>
      <c r="O12" s="5">
        <f t="shared" si="0"/>
        <v>10.5</v>
      </c>
      <c r="Q12" s="5">
        <v>9</v>
      </c>
    </row>
    <row r="13" spans="1:17" x14ac:dyDescent="0.25">
      <c r="A13" s="4" t="s">
        <v>19</v>
      </c>
      <c r="B13" s="1">
        <f>4+3+4+4+5+4.5+3+4+4+4+5+5.5+4+5+5+6+4</f>
        <v>74</v>
      </c>
      <c r="C13" s="3">
        <v>17</v>
      </c>
      <c r="D13" s="3"/>
      <c r="E13" s="1">
        <f>5+4+4+9+5+16+3+6+3.3</f>
        <v>55.3</v>
      </c>
      <c r="F13" s="3">
        <v>9</v>
      </c>
      <c r="G13" s="3"/>
      <c r="H13" t="s">
        <v>57</v>
      </c>
      <c r="I13" t="s">
        <v>80</v>
      </c>
      <c r="J13" s="5">
        <v>10</v>
      </c>
      <c r="K13" s="5">
        <v>10</v>
      </c>
      <c r="L13" s="5">
        <v>22</v>
      </c>
      <c r="M13" s="5">
        <v>14</v>
      </c>
      <c r="O13" s="5">
        <f t="shared" si="0"/>
        <v>12.5</v>
      </c>
      <c r="Q13" s="5">
        <v>10</v>
      </c>
    </row>
    <row r="14" spans="1:17" x14ac:dyDescent="0.25">
      <c r="A14" s="4" t="s">
        <v>28</v>
      </c>
      <c r="B14" s="1">
        <f>5+5+4+5+3+4.5+6+5+6+4+5+4.5+4+4+4+4+6</f>
        <v>79</v>
      </c>
      <c r="C14" s="3">
        <v>6</v>
      </c>
      <c r="D14" s="3"/>
      <c r="E14" s="1">
        <f>9+9+5+9+4+16+3+9+5.7</f>
        <v>69.7</v>
      </c>
      <c r="F14" s="3">
        <v>1</v>
      </c>
      <c r="G14" s="3"/>
      <c r="H14" t="s">
        <v>37</v>
      </c>
      <c r="I14" t="s">
        <v>61</v>
      </c>
      <c r="J14" s="5">
        <v>30</v>
      </c>
      <c r="K14" s="5">
        <v>24</v>
      </c>
      <c r="L14" s="5">
        <f>(23+37)/2</f>
        <v>30</v>
      </c>
      <c r="M14" s="5">
        <v>20</v>
      </c>
      <c r="O14" s="5">
        <f t="shared" si="0"/>
        <v>12.75</v>
      </c>
      <c r="Q14" s="5">
        <v>11</v>
      </c>
    </row>
    <row r="15" spans="1:17" x14ac:dyDescent="0.25">
      <c r="A15" s="4" t="s">
        <v>25</v>
      </c>
      <c r="B15" s="1">
        <f>4+6+5+5+5+4+4+4+5+4+4+4+4+6+6+5+5</f>
        <v>80</v>
      </c>
      <c r="C15" s="3">
        <v>4</v>
      </c>
      <c r="D15" s="3"/>
      <c r="E15" s="1">
        <f>9+9+4+5+5+7+2+7+4.3</f>
        <v>52.3</v>
      </c>
      <c r="F15" s="3">
        <v>12</v>
      </c>
      <c r="G15" s="3"/>
      <c r="H15" t="s">
        <v>53</v>
      </c>
      <c r="I15" t="s">
        <v>76</v>
      </c>
      <c r="J15" s="5">
        <v>17</v>
      </c>
      <c r="K15" s="5">
        <v>15</v>
      </c>
      <c r="L15" s="5">
        <f>(29+41)/2</f>
        <v>35</v>
      </c>
      <c r="M15" s="5">
        <v>22</v>
      </c>
      <c r="O15" s="5">
        <f t="shared" si="0"/>
        <v>13.25</v>
      </c>
      <c r="Q15" s="5">
        <v>12</v>
      </c>
    </row>
    <row r="16" spans="1:17" x14ac:dyDescent="0.25">
      <c r="A16" s="4" t="s">
        <v>11</v>
      </c>
      <c r="B16" s="1">
        <f>4+4+4+5+5+5+5+3+6+4+4+4.5+3+5+4+5+6</f>
        <v>76.5</v>
      </c>
      <c r="C16" s="3">
        <v>9</v>
      </c>
      <c r="D16" s="3"/>
      <c r="E16" s="1">
        <f>5+3+9+9+3+2+6+11+2.7</f>
        <v>50.7</v>
      </c>
      <c r="F16" s="3">
        <v>14</v>
      </c>
      <c r="G16" s="3"/>
      <c r="H16" t="s">
        <v>45</v>
      </c>
      <c r="I16" t="s">
        <v>68</v>
      </c>
      <c r="J16" s="5">
        <v>20</v>
      </c>
      <c r="K16" s="5">
        <v>18</v>
      </c>
      <c r="L16" s="5">
        <f>(18+26)/2</f>
        <v>22</v>
      </c>
      <c r="M16" s="5">
        <v>15</v>
      </c>
      <c r="O16" s="5">
        <f t="shared" si="0"/>
        <v>14</v>
      </c>
      <c r="Q16" s="5">
        <v>13</v>
      </c>
    </row>
    <row r="17" spans="1:17" x14ac:dyDescent="0.25">
      <c r="A17" s="4" t="s">
        <v>32</v>
      </c>
      <c r="B17" s="1">
        <f>4+4+6+4+5+5+5+4+5+4+5.5+5+4+4+4+4+4</f>
        <v>76.5</v>
      </c>
      <c r="C17" s="3">
        <v>9</v>
      </c>
      <c r="D17" s="3"/>
      <c r="E17" s="1">
        <f>9+4+9+3+4+9+0+7+2.3</f>
        <v>47.3</v>
      </c>
      <c r="F17" s="3">
        <v>16</v>
      </c>
      <c r="G17" s="3"/>
      <c r="H17" t="s">
        <v>52</v>
      </c>
      <c r="I17" t="s">
        <v>75</v>
      </c>
      <c r="J17" s="5">
        <v>12</v>
      </c>
      <c r="K17" s="5">
        <v>12</v>
      </c>
      <c r="L17" s="5">
        <v>31</v>
      </c>
      <c r="M17" s="5">
        <v>21</v>
      </c>
      <c r="O17" s="5">
        <f t="shared" si="0"/>
        <v>14.5</v>
      </c>
      <c r="Q17" s="5">
        <v>15</v>
      </c>
    </row>
    <row r="18" spans="1:17" x14ac:dyDescent="0.25">
      <c r="A18" s="4" t="s">
        <v>17</v>
      </c>
      <c r="B18" s="1">
        <f>6+4+4+6+5+4+4+5+4+4+3.5+3.5+4+5+4+4+5</f>
        <v>75</v>
      </c>
      <c r="C18" s="3">
        <v>15</v>
      </c>
      <c r="D18" s="3"/>
      <c r="E18" s="1">
        <f>9+4+9+5+4+0+8+2+3</f>
        <v>44</v>
      </c>
      <c r="F18" s="3">
        <v>18</v>
      </c>
      <c r="G18" s="3"/>
      <c r="H18" t="s">
        <v>56</v>
      </c>
      <c r="I18" t="s">
        <v>79</v>
      </c>
      <c r="J18" s="5">
        <v>18</v>
      </c>
      <c r="K18" s="5">
        <v>16</v>
      </c>
      <c r="L18" s="5">
        <v>16</v>
      </c>
      <c r="M18" s="5">
        <v>9</v>
      </c>
      <c r="O18" s="5">
        <f t="shared" si="0"/>
        <v>14.5</v>
      </c>
      <c r="Q18" s="5">
        <v>15</v>
      </c>
    </row>
    <row r="19" spans="1:17" x14ac:dyDescent="0.25">
      <c r="A19" s="4" t="s">
        <v>31</v>
      </c>
      <c r="B19" s="1">
        <f>5+6+4+5+4+4+4+4+4+4+5+3+5+5+4+5+4</f>
        <v>75</v>
      </c>
      <c r="C19" s="3">
        <v>15</v>
      </c>
      <c r="D19" s="3"/>
      <c r="E19" s="1">
        <f>4+9+0+9+9+4+1+2+6</f>
        <v>44</v>
      </c>
      <c r="F19" s="3">
        <v>18</v>
      </c>
      <c r="G19" s="3"/>
      <c r="H19" t="s">
        <v>49</v>
      </c>
      <c r="I19" t="s">
        <v>72</v>
      </c>
      <c r="J19" s="5">
        <v>7</v>
      </c>
      <c r="K19" s="5">
        <v>7</v>
      </c>
      <c r="L19" s="5">
        <f>(7+46)/2</f>
        <v>26.5</v>
      </c>
      <c r="M19" s="5">
        <v>18</v>
      </c>
      <c r="O19" s="5">
        <f t="shared" si="0"/>
        <v>14.5</v>
      </c>
      <c r="Q19" s="5">
        <v>15</v>
      </c>
    </row>
    <row r="20" spans="1:17" x14ac:dyDescent="0.25">
      <c r="A20" s="4" t="s">
        <v>7</v>
      </c>
      <c r="B20" s="1">
        <f>4+4+5+5+5+4+5+3+6+3+3.5+4.5+5+5+5+4+5</f>
        <v>76</v>
      </c>
      <c r="C20" s="3">
        <v>12</v>
      </c>
      <c r="D20" s="3"/>
      <c r="E20" s="1">
        <f>5+5+2+9+9+9+5+5+2.3</f>
        <v>51.3</v>
      </c>
      <c r="F20" s="3">
        <v>13</v>
      </c>
      <c r="G20" s="3"/>
      <c r="H20" t="s">
        <v>39</v>
      </c>
      <c r="I20" t="s">
        <v>33</v>
      </c>
      <c r="J20" s="5">
        <v>22</v>
      </c>
      <c r="K20" s="5">
        <v>20</v>
      </c>
      <c r="L20" s="5">
        <f>(13+36)/2</f>
        <v>24.5</v>
      </c>
      <c r="M20" s="5">
        <v>16</v>
      </c>
      <c r="O20" s="5">
        <f t="shared" si="0"/>
        <v>15.25</v>
      </c>
      <c r="Q20" s="5">
        <v>17</v>
      </c>
    </row>
    <row r="21" spans="1:17" x14ac:dyDescent="0.25">
      <c r="A21" s="4" t="s">
        <v>8</v>
      </c>
      <c r="B21" s="1">
        <f>6+4+5+4+4+4+4+3+4+5+4+4+5+4+4+3+5</f>
        <v>72</v>
      </c>
      <c r="C21" s="3">
        <v>20</v>
      </c>
      <c r="D21" s="3"/>
      <c r="E21" s="1">
        <f>9+5+3+0+4+7+3+6+7.7</f>
        <v>44.7</v>
      </c>
      <c r="F21" s="3">
        <v>17</v>
      </c>
      <c r="G21" s="3"/>
      <c r="H21" t="s">
        <v>41</v>
      </c>
      <c r="I21" t="s">
        <v>64</v>
      </c>
      <c r="J21" s="5">
        <v>23</v>
      </c>
      <c r="K21" s="5">
        <v>21</v>
      </c>
      <c r="L21" s="5">
        <v>5</v>
      </c>
      <c r="M21" s="5">
        <v>4</v>
      </c>
      <c r="O21" s="5">
        <f t="shared" si="0"/>
        <v>15.5</v>
      </c>
      <c r="Q21" s="5">
        <v>18</v>
      </c>
    </row>
    <row r="22" spans="1:17" x14ac:dyDescent="0.25">
      <c r="A22" s="4" t="s">
        <v>26</v>
      </c>
      <c r="B22" s="1">
        <f>6+5+4+3+3+4.5+5+4+4+3+5+4+4+4+4+5+6</f>
        <v>73.5</v>
      </c>
      <c r="C22" s="3">
        <v>18</v>
      </c>
      <c r="D22" s="3"/>
      <c r="E22" s="1">
        <f>9+4+5+5+4+3+6+5+2.7</f>
        <v>43.7</v>
      </c>
      <c r="F22" s="3">
        <v>20</v>
      </c>
      <c r="G22" s="3"/>
      <c r="H22" t="s">
        <v>35</v>
      </c>
      <c r="I22" t="s">
        <v>59</v>
      </c>
      <c r="J22" s="5">
        <v>8</v>
      </c>
      <c r="K22" s="5">
        <v>8</v>
      </c>
      <c r="L22" s="5">
        <v>30</v>
      </c>
      <c r="M22" s="5">
        <v>19</v>
      </c>
      <c r="O22" s="5">
        <f t="shared" si="0"/>
        <v>16.25</v>
      </c>
      <c r="Q22" s="5">
        <v>19</v>
      </c>
    </row>
    <row r="23" spans="1:17" x14ac:dyDescent="0.25">
      <c r="A23" s="4" t="s">
        <v>30</v>
      </c>
      <c r="B23" s="1">
        <f>5+4+4+3+4+4+4+5+4+4+4+4+4+5+4+5+5</f>
        <v>72</v>
      </c>
      <c r="C23" s="3">
        <v>20</v>
      </c>
      <c r="D23" s="3"/>
      <c r="E23" s="1">
        <f>3+0+5+5+5+10+2+3+2</f>
        <v>35</v>
      </c>
      <c r="F23" s="3">
        <v>23</v>
      </c>
      <c r="G23" s="3"/>
      <c r="H23" t="s">
        <v>46</v>
      </c>
      <c r="I23" t="s">
        <v>69</v>
      </c>
      <c r="J23" s="5">
        <v>5</v>
      </c>
      <c r="K23" s="5">
        <v>5</v>
      </c>
      <c r="L23" s="5">
        <v>25</v>
      </c>
      <c r="M23" s="5">
        <v>17</v>
      </c>
      <c r="O23" s="5">
        <f t="shared" si="0"/>
        <v>16.25</v>
      </c>
      <c r="Q23" s="5">
        <v>19</v>
      </c>
    </row>
    <row r="24" spans="1:17" x14ac:dyDescent="0.25">
      <c r="A24" s="4" t="s">
        <v>10</v>
      </c>
      <c r="B24" s="1">
        <f>6+3+5+3+5+4+6+4+5+6+3+5+4+4+4+4+5</f>
        <v>76</v>
      </c>
      <c r="C24" s="3">
        <v>12</v>
      </c>
      <c r="D24" s="3"/>
      <c r="E24" s="1">
        <f>4+4+3+5+5+13+4+0+3</f>
        <v>41</v>
      </c>
      <c r="F24" s="3">
        <v>21</v>
      </c>
      <c r="G24" s="3"/>
      <c r="H24" t="s">
        <v>44</v>
      </c>
      <c r="I24" t="s">
        <v>67</v>
      </c>
      <c r="J24" s="5">
        <v>21</v>
      </c>
      <c r="K24" s="5">
        <v>19</v>
      </c>
      <c r="L24" s="5">
        <f>(24+50)/2</f>
        <v>37</v>
      </c>
      <c r="M24" s="5">
        <v>23</v>
      </c>
      <c r="O24" s="5">
        <f t="shared" si="0"/>
        <v>18.75</v>
      </c>
      <c r="Q24" s="5">
        <v>22</v>
      </c>
    </row>
    <row r="25" spans="1:17" x14ac:dyDescent="0.25">
      <c r="A25" s="4" t="s">
        <v>29</v>
      </c>
      <c r="B25" s="1">
        <f>5+3+5+3+5+3+4+3+4+4+5.5+3.5+4+5+5+3+5</f>
        <v>70</v>
      </c>
      <c r="C25" s="3">
        <v>23</v>
      </c>
      <c r="D25" s="3"/>
      <c r="E25" s="1">
        <f>5+4+9+5+9+4+8+0+6</f>
        <v>50</v>
      </c>
      <c r="F25" s="3">
        <v>15</v>
      </c>
      <c r="G25" s="3"/>
      <c r="H25" t="s">
        <v>42</v>
      </c>
      <c r="I25" t="s">
        <v>65</v>
      </c>
      <c r="J25" s="5">
        <v>14</v>
      </c>
      <c r="K25" s="5">
        <v>14</v>
      </c>
      <c r="L25" s="5">
        <f>(47+51)/2</f>
        <v>49</v>
      </c>
      <c r="M25" s="5">
        <v>24</v>
      </c>
      <c r="O25" s="5">
        <f t="shared" si="0"/>
        <v>19</v>
      </c>
      <c r="Q25" s="5">
        <v>21</v>
      </c>
    </row>
    <row r="26" spans="1:17" x14ac:dyDescent="0.25">
      <c r="A26" s="4" t="s">
        <v>16</v>
      </c>
      <c r="B26" s="1">
        <f>5+3+6+4+4+4+4+3+3+4+4+3.5+4+5+3+5+4</f>
        <v>68.5</v>
      </c>
      <c r="C26" s="3">
        <v>24</v>
      </c>
      <c r="D26" s="3"/>
      <c r="E26" s="1">
        <f>9+2+4+4+5+7+1+3+3.3</f>
        <v>38.299999999999997</v>
      </c>
      <c r="F26" s="3">
        <v>22</v>
      </c>
      <c r="G26" s="3"/>
      <c r="H26" t="s">
        <v>54</v>
      </c>
      <c r="I26" t="s">
        <v>77</v>
      </c>
      <c r="J26" s="5">
        <v>25</v>
      </c>
      <c r="K26" s="5">
        <v>23</v>
      </c>
      <c r="L26" s="5">
        <f>(11+28)/2</f>
        <v>19.5</v>
      </c>
      <c r="M26" s="5">
        <v>10</v>
      </c>
      <c r="O26" s="5">
        <f t="shared" si="0"/>
        <v>19.75</v>
      </c>
      <c r="Q26" s="5">
        <v>23</v>
      </c>
    </row>
    <row r="27" spans="1:17" x14ac:dyDescent="0.25">
      <c r="A27" s="4" t="s">
        <v>12</v>
      </c>
      <c r="B27" s="1">
        <f>4+3+5+4+6+4+5+3+4+3+4+3.5+4+6+5+4+4</f>
        <v>71.5</v>
      </c>
      <c r="C27" s="3">
        <v>22</v>
      </c>
      <c r="D27" s="3"/>
      <c r="E27" s="1">
        <f>5+0+9+0+9+0+5+0+3.7</f>
        <v>31.7</v>
      </c>
      <c r="F27" s="3">
        <v>24</v>
      </c>
      <c r="G27" s="3"/>
      <c r="H27" t="s">
        <v>47</v>
      </c>
      <c r="I27" t="s">
        <v>70</v>
      </c>
      <c r="J27" s="5">
        <v>24</v>
      </c>
      <c r="K27" s="5">
        <v>22</v>
      </c>
      <c r="L27" s="5">
        <f>(20+21)/2</f>
        <v>20.5</v>
      </c>
      <c r="M27" s="5">
        <v>12</v>
      </c>
      <c r="O27" s="5">
        <f t="shared" si="0"/>
        <v>20</v>
      </c>
      <c r="Q27" s="5">
        <v>24</v>
      </c>
    </row>
    <row r="29" spans="1:17" x14ac:dyDescent="0.25">
      <c r="A29" t="s">
        <v>20</v>
      </c>
    </row>
    <row r="30" spans="1:17" x14ac:dyDescent="0.25">
      <c r="A30" t="s">
        <v>1</v>
      </c>
    </row>
    <row r="32" spans="1:17" x14ac:dyDescent="0.25">
      <c r="A32" t="s">
        <v>21</v>
      </c>
    </row>
    <row r="33" spans="1:1" x14ac:dyDescent="0.25">
      <c r="A33" t="s">
        <v>24</v>
      </c>
    </row>
    <row r="35" spans="1:1" x14ac:dyDescent="0.25">
      <c r="A35" t="s">
        <v>84</v>
      </c>
    </row>
    <row r="36" spans="1:1" x14ac:dyDescent="0.25">
      <c r="A36" t="s">
        <v>85</v>
      </c>
    </row>
  </sheetData>
  <sortState xmlns:xlrd2="http://schemas.microsoft.com/office/spreadsheetml/2017/richdata2" ref="A4:Q27">
    <sortCondition ref="O4:O27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SOMIFATeamPreviews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Ed Berro</cp:lastModifiedBy>
  <dcterms:created xsi:type="dcterms:W3CDTF">2020-02-22T19:57:54Z</dcterms:created>
  <dcterms:modified xsi:type="dcterms:W3CDTF">2026-09-25T22:11:33Z</dcterms:modified>
</cp:coreProperties>
</file>